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7.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8.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9.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10.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drawings/drawing11.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drawings/drawing12.xml" ContentType="application/vnd.openxmlformats-officedocument.drawing+xml"/>
  <Override PartName="/xl/comments10.xml" ContentType="application/vnd.openxmlformats-officedocument.spreadsheetml.comments+xml"/>
  <Override PartName="/xl/charts/chart10.xml" ContentType="application/vnd.openxmlformats-officedocument.drawingml.chart+xml"/>
  <Override PartName="/xl/drawings/drawing13.xml" ContentType="application/vnd.openxmlformats-officedocument.drawing+xml"/>
  <Override PartName="/xl/comments11.xml" ContentType="application/vnd.openxmlformats-officedocument.spreadsheetml.comments+xml"/>
  <Override PartName="/xl/charts/chart1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omments12.xml" ContentType="application/vnd.openxmlformats-officedocument.spreadsheetml.comments+xml"/>
  <Override PartName="/xl/charts/chart12.xml" ContentType="application/vnd.openxmlformats-officedocument.drawingml.chart+xml"/>
  <Override PartName="/xl/drawings/drawing16.xml" ContentType="application/vnd.openxmlformats-officedocument.drawing+xml"/>
  <Override PartName="/xl/comments13.xml" ContentType="application/vnd.openxmlformats-officedocument.spreadsheetml.comments+xml"/>
  <Override PartName="/xl/charts/chart13.xml" ContentType="application/vnd.openxmlformats-officedocument.drawingml.chart+xml"/>
  <Override PartName="/xl/drawings/drawing17.xml" ContentType="application/vnd.openxmlformats-officedocument.drawing+xml"/>
  <Override PartName="/xl/comments14.xml" ContentType="application/vnd.openxmlformats-officedocument.spreadsheetml.comments+xml"/>
  <Override PartName="/xl/charts/chart14.xml" ContentType="application/vnd.openxmlformats-officedocument.drawingml.chart+xml"/>
  <Override PartName="/xl/drawings/drawing18.xml" ContentType="application/vnd.openxmlformats-officedocument.drawing+xml"/>
  <Override PartName="/xl/comments15.xml" ContentType="application/vnd.openxmlformats-officedocument.spreadsheetml.comments+xml"/>
  <Override PartName="/xl/charts/chart15.xml" ContentType="application/vnd.openxmlformats-officedocument.drawingml.chart+xml"/>
  <Override PartName="/xl/drawings/drawing19.xml" ContentType="application/vnd.openxmlformats-officedocument.drawing+xml"/>
  <Override PartName="/xl/comments16.xml" ContentType="application/vnd.openxmlformats-officedocument.spreadsheetml.comments+xml"/>
  <Override PartName="/xl/charts/chart16.xml" ContentType="application/vnd.openxmlformats-officedocument.drawingml.chart+xml"/>
  <Override PartName="/xl/drawings/drawing20.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omments17.xml" ContentType="application/vnd.openxmlformats-officedocument.spreadsheetml.comments+xml"/>
  <Override PartName="/xl/charts/chart17.xml" ContentType="application/vnd.openxmlformats-officedocument.drawingml.chart+xml"/>
  <Override PartName="/xl/drawings/drawing21.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omments18.xml" ContentType="application/vnd.openxmlformats-officedocument.spreadsheetml.comments+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codeName="ThisWorkbook"/>
  <mc:AlternateContent xmlns:mc="http://schemas.openxmlformats.org/markup-compatibility/2006">
    <mc:Choice Requires="x15">
      <x15ac:absPath xmlns:x15ac="http://schemas.microsoft.com/office/spreadsheetml/2010/11/ac" url="M:\Documents\CAP\DOV\WeightAndBalance\"/>
    </mc:Choice>
  </mc:AlternateContent>
  <xr:revisionPtr revIDLastSave="0" documentId="13_ncr:1_{4C00B207-1E6F-4983-B823-E552A41874F3}" xr6:coauthVersionLast="45" xr6:coauthVersionMax="45" xr10:uidLastSave="{00000000-0000-0000-0000-000000000000}"/>
  <bookViews>
    <workbookView xWindow="2505" yWindow="1035" windowWidth="25110" windowHeight="15165" tabRatio="889" xr2:uid="{00000000-000D-0000-FFFF-FFFF00000000}"/>
  </bookViews>
  <sheets>
    <sheet name="READ ME" sheetId="3" r:id="rId1"/>
    <sheet name="All Aircraft" sheetId="21" r:id="rId2"/>
    <sheet name="N426CP" sheetId="42" r:id="rId3"/>
    <sheet name="N697CP" sheetId="19" r:id="rId4"/>
    <sheet name="NoUnlockCAP 1240" sheetId="23" state="hidden" r:id="rId5"/>
    <sheet name="Empty172" sheetId="24" state="hidden" r:id="rId6"/>
    <sheet name="N990CP" sheetId="33" r:id="rId7"/>
    <sheet name="N9433L" sheetId="34" r:id="rId8"/>
    <sheet name="N237CP" sheetId="35" r:id="rId9"/>
    <sheet name="N288CP" sheetId="36" r:id="rId10"/>
    <sheet name="N380CV" sheetId="38" r:id="rId11"/>
    <sheet name="NoUnlockCAP 1223" sheetId="25" state="hidden" r:id="rId12"/>
    <sheet name="NoUnlockCAP1238" sheetId="26" state="hidden" r:id="rId13"/>
    <sheet name="N402CV" sheetId="28" r:id="rId14"/>
    <sheet name="NxxxCP" sheetId="39" state="hidden" r:id="rId15"/>
    <sheet name="NoUnlockN471CP" sheetId="27" state="hidden" r:id="rId16"/>
    <sheet name="N493CP" sheetId="40" r:id="rId17"/>
    <sheet name="x182CP" sheetId="29" state="hidden" r:id="rId18"/>
    <sheet name="N471CP" sheetId="32" r:id="rId19"/>
    <sheet name="GA8N470CP" sheetId="31" state="hidden" r:id="rId20"/>
  </sheets>
  <definedNames>
    <definedName name="exp_warn">'READ ME'!$S$14</definedName>
    <definedName name="expire_date">'READ ME'!$S$7</definedName>
    <definedName name="expired">'READ ME'!$T$14</definedName>
    <definedName name="old_ver">'READ ME'!$R$11</definedName>
    <definedName name="_xlnm.Print_Area" localSheetId="1">'All Aircraft'!$A$5:$Q$28</definedName>
    <definedName name="_xlnm.Print_Area" localSheetId="5">Empty172!$I$1:$M$55</definedName>
    <definedName name="_xlnm.Print_Area" localSheetId="19">GA8N470CP!$K$1:$O$56</definedName>
    <definedName name="_xlnm.Print_Area" localSheetId="8">N237CP!$I$1:$M$55</definedName>
    <definedName name="_xlnm.Print_Area" localSheetId="9">N288CP!$I$1:$M$55</definedName>
    <definedName name="_xlnm.Print_Area" localSheetId="10">N380CV!$I$1:$M$55</definedName>
    <definedName name="_xlnm.Print_Area" localSheetId="13">N402CV!$I$1:$M$55</definedName>
    <definedName name="_xlnm.Print_Area" localSheetId="2">N426CP!$I$1:$M$55</definedName>
    <definedName name="_xlnm.Print_Area" localSheetId="18">N471CP!$K$1:$O$56</definedName>
    <definedName name="_xlnm.Print_Area" localSheetId="16">N493CP!$I$1:$M$55</definedName>
    <definedName name="_xlnm.Print_Area" localSheetId="3">N697CP!$I$1:$M$55</definedName>
    <definedName name="_xlnm.Print_Area" localSheetId="7">N9433L!$I$1:$M$55</definedName>
    <definedName name="_xlnm.Print_Area" localSheetId="6">N990CP!$I$1:$M$55</definedName>
    <definedName name="_xlnm.Print_Area" localSheetId="11">'NoUnlockCAP 1223'!$I$1:$M$55</definedName>
    <definedName name="_xlnm.Print_Area" localSheetId="4">'NoUnlockCAP 1240'!$I$1:$M$55</definedName>
    <definedName name="_xlnm.Print_Area" localSheetId="12">NoUnlockCAP1238!$I$1:$M$55</definedName>
    <definedName name="_xlnm.Print_Area" localSheetId="15">NoUnlockN471CP!$I$1:$M$55</definedName>
    <definedName name="_xlnm.Print_Area" localSheetId="14">NxxxCP!$I$1:$M$55</definedName>
    <definedName name="_xlnm.Print_Area" localSheetId="0">'READ ME'!$A$1:$L$28</definedName>
    <definedName name="_xlnm.Print_Area" localSheetId="17">x182CP!$I$1:$M$55</definedName>
    <definedName name="release_date">'READ ME'!$Q$7</definedName>
    <definedName name="release_nbr">'READ ME'!$P$7</definedName>
    <definedName name="status_msg">'READ ME'!$Q$20</definedName>
    <definedName name="W_B_sheet_is_set_to_expire_in_5_days">'READ ME'!$Q$20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21" l="1"/>
  <c r="M13" i="21"/>
  <c r="F14" i="21"/>
  <c r="N13" i="21"/>
  <c r="K13" i="21" l="1"/>
  <c r="J13" i="21"/>
  <c r="I13" i="21"/>
  <c r="H13" i="21"/>
  <c r="D13" i="21"/>
  <c r="C13" i="21"/>
  <c r="G13" i="21"/>
  <c r="F13" i="21"/>
  <c r="N9" i="21"/>
  <c r="M9" i="21"/>
  <c r="L9" i="21"/>
  <c r="K9" i="21"/>
  <c r="J9" i="21"/>
  <c r="I9" i="21"/>
  <c r="H9" i="21"/>
  <c r="G9" i="21"/>
  <c r="F9" i="21"/>
  <c r="E9" i="21"/>
  <c r="D9" i="21"/>
  <c r="C9" i="21"/>
  <c r="I55" i="42"/>
  <c r="I54" i="42"/>
  <c r="Q53" i="42"/>
  <c r="R52" i="42"/>
  <c r="I43" i="42" s="1"/>
  <c r="Q52" i="42"/>
  <c r="Q51" i="42"/>
  <c r="J51" i="42"/>
  <c r="I51" i="42"/>
  <c r="AD50" i="42"/>
  <c r="AH47" i="42" s="1"/>
  <c r="AH48" i="42" s="1"/>
  <c r="AH49" i="42" s="1"/>
  <c r="AH50" i="42" s="1"/>
  <c r="R50" i="42"/>
  <c r="Q50" i="42"/>
  <c r="AD49" i="42"/>
  <c r="AA49" i="42"/>
  <c r="Z50" i="42" s="1"/>
  <c r="Z49" i="42"/>
  <c r="R49" i="42"/>
  <c r="Q49" i="42"/>
  <c r="AD48" i="42"/>
  <c r="AB48" i="42"/>
  <c r="AA48" i="42"/>
  <c r="Z48" i="42"/>
  <c r="R48" i="42"/>
  <c r="Q48" i="42"/>
  <c r="AE47" i="42"/>
  <c r="AD47" i="42"/>
  <c r="AC47" i="42"/>
  <c r="AA47" i="42"/>
  <c r="Z47" i="42"/>
  <c r="AB47" i="42" s="1"/>
  <c r="AF47" i="42" s="1"/>
  <c r="R47" i="42"/>
  <c r="Q47" i="42"/>
  <c r="R46" i="42"/>
  <c r="C25" i="42" s="1"/>
  <c r="Q46" i="42"/>
  <c r="I44" i="42"/>
  <c r="AE43" i="42"/>
  <c r="AA43" i="42"/>
  <c r="Q43" i="42"/>
  <c r="Q42" i="42"/>
  <c r="AH40" i="42"/>
  <c r="Q39" i="42"/>
  <c r="Q38" i="42"/>
  <c r="U37" i="42"/>
  <c r="D28" i="42" s="1"/>
  <c r="Q37" i="42"/>
  <c r="AE36" i="42"/>
  <c r="Q34" i="42"/>
  <c r="I34" i="42"/>
  <c r="Q33" i="42"/>
  <c r="AC32" i="42"/>
  <c r="AC40" i="42" s="1"/>
  <c r="AA50" i="42" s="1"/>
  <c r="AB50" i="42" s="1"/>
  <c r="Q32" i="42"/>
  <c r="R31" i="42"/>
  <c r="Q31" i="42"/>
  <c r="R30" i="42"/>
  <c r="Q30" i="42"/>
  <c r="I30" i="42"/>
  <c r="R29" i="42"/>
  <c r="Q29" i="42"/>
  <c r="I29" i="42"/>
  <c r="I28" i="42"/>
  <c r="V27" i="42"/>
  <c r="Q27" i="42"/>
  <c r="I27" i="42"/>
  <c r="V26" i="42"/>
  <c r="Q26" i="42"/>
  <c r="I26" i="42"/>
  <c r="AD25" i="42"/>
  <c r="AB25" i="42"/>
  <c r="AA25" i="42"/>
  <c r="Z26" i="42" s="1"/>
  <c r="Z25" i="42"/>
  <c r="I25" i="42"/>
  <c r="AD24" i="42"/>
  <c r="AA24" i="42"/>
  <c r="B24" i="42"/>
  <c r="AC23" i="42"/>
  <c r="AA23" i="42"/>
  <c r="AB23" i="42" s="1"/>
  <c r="Z23" i="42"/>
  <c r="V21" i="42"/>
  <c r="Q21" i="42"/>
  <c r="R20" i="42"/>
  <c r="F14" i="42" s="1"/>
  <c r="Q20" i="42"/>
  <c r="V19" i="42"/>
  <c r="Q19" i="42"/>
  <c r="M19" i="42"/>
  <c r="V18" i="42"/>
  <c r="R18" i="42"/>
  <c r="Q18" i="42"/>
  <c r="D18" i="42"/>
  <c r="T43" i="42" s="1"/>
  <c r="AH16" i="42"/>
  <c r="AD26" i="42" s="1"/>
  <c r="AC16" i="42"/>
  <c r="AA26" i="42" s="1"/>
  <c r="AB26" i="42" s="1"/>
  <c r="Q15" i="42"/>
  <c r="K15" i="42"/>
  <c r="J15" i="42"/>
  <c r="F28" i="42" s="1"/>
  <c r="Q14" i="42"/>
  <c r="M14" i="42"/>
  <c r="Q13" i="42"/>
  <c r="AE12" i="42"/>
  <c r="AD23" i="42" s="1"/>
  <c r="Q12" i="42"/>
  <c r="M12" i="42"/>
  <c r="K12" i="42"/>
  <c r="J12" i="42"/>
  <c r="L12" i="42" s="1"/>
  <c r="U11" i="42"/>
  <c r="R11" i="42"/>
  <c r="B21" i="42" s="1"/>
  <c r="Q11" i="42"/>
  <c r="M11" i="42"/>
  <c r="K11" i="42"/>
  <c r="L11" i="42" s="1"/>
  <c r="J11" i="42"/>
  <c r="R10" i="42"/>
  <c r="Q10" i="42"/>
  <c r="M10" i="42"/>
  <c r="K10" i="42"/>
  <c r="J10" i="42"/>
  <c r="L10" i="42" s="1"/>
  <c r="Q9" i="42"/>
  <c r="M9" i="42"/>
  <c r="K9" i="42"/>
  <c r="J9" i="42"/>
  <c r="D29" i="42" s="1"/>
  <c r="AC8" i="42"/>
  <c r="Q8" i="42"/>
  <c r="M8" i="42"/>
  <c r="K8" i="42"/>
  <c r="L8" i="42" s="1"/>
  <c r="J8" i="42"/>
  <c r="Q7" i="42"/>
  <c r="M7" i="42"/>
  <c r="K7" i="42"/>
  <c r="L7" i="42" s="1"/>
  <c r="J7" i="42"/>
  <c r="J14" i="42" s="1"/>
  <c r="M5" i="42"/>
  <c r="L3" i="42"/>
  <c r="J3" i="42"/>
  <c r="I3" i="42"/>
  <c r="J2" i="42"/>
  <c r="F2" i="42"/>
  <c r="L1" i="42"/>
  <c r="J1" i="42"/>
  <c r="I1" i="42"/>
  <c r="AE23" i="42" l="1"/>
  <c r="AC24" i="42"/>
  <c r="AE24" i="42" s="1"/>
  <c r="B30" i="42"/>
  <c r="F30" i="42"/>
  <c r="D30" i="42"/>
  <c r="AF23" i="42"/>
  <c r="AC26" i="42"/>
  <c r="AE26" i="42"/>
  <c r="AH23" i="42"/>
  <c r="AH24" i="42" s="1"/>
  <c r="AH25" i="42" s="1"/>
  <c r="AH26" i="42" s="1"/>
  <c r="AF26" i="42"/>
  <c r="U38" i="42"/>
  <c r="AC25" i="42"/>
  <c r="AE25" i="42" s="1"/>
  <c r="AF25" i="42" s="1"/>
  <c r="Z24" i="42"/>
  <c r="AB24" i="42" s="1"/>
  <c r="AF24" i="42" s="1"/>
  <c r="AB49" i="42"/>
  <c r="L15" i="42"/>
  <c r="U39" i="42"/>
  <c r="AC49" i="42"/>
  <c r="AE49" i="42" s="1"/>
  <c r="L9" i="42"/>
  <c r="L14" i="42" s="1"/>
  <c r="L16" i="42" s="1"/>
  <c r="B23" i="42"/>
  <c r="I45" i="42"/>
  <c r="M16" i="42"/>
  <c r="R51" i="42"/>
  <c r="D19" i="42" s="1"/>
  <c r="I42" i="42"/>
  <c r="AC48" i="42"/>
  <c r="AE48" i="42" s="1"/>
  <c r="AF48" i="42" s="1"/>
  <c r="I35" i="42"/>
  <c r="T42" i="42"/>
  <c r="J18" i="42"/>
  <c r="B25" i="42"/>
  <c r="I36" i="42"/>
  <c r="R53" i="42"/>
  <c r="K18" i="42"/>
  <c r="N19" i="21"/>
  <c r="M19" i="21"/>
  <c r="L19" i="21"/>
  <c r="K19" i="21"/>
  <c r="J19" i="21"/>
  <c r="I19" i="21"/>
  <c r="H19" i="21"/>
  <c r="G19" i="21"/>
  <c r="F19" i="21"/>
  <c r="E19" i="21"/>
  <c r="D19" i="21"/>
  <c r="C19" i="21"/>
  <c r="N22" i="21"/>
  <c r="M22" i="21"/>
  <c r="L22" i="21"/>
  <c r="K22" i="21"/>
  <c r="J22" i="21"/>
  <c r="I22" i="21"/>
  <c r="H22" i="21"/>
  <c r="G22" i="21"/>
  <c r="F22" i="21"/>
  <c r="E22" i="21"/>
  <c r="D22" i="21"/>
  <c r="C22" i="21"/>
  <c r="N23" i="21"/>
  <c r="M23" i="21"/>
  <c r="L23" i="21"/>
  <c r="K23" i="21"/>
  <c r="J23" i="21"/>
  <c r="I23" i="21"/>
  <c r="H23" i="21"/>
  <c r="G23" i="21"/>
  <c r="F23" i="21"/>
  <c r="E23" i="21"/>
  <c r="D23" i="21"/>
  <c r="C23" i="21"/>
  <c r="N20" i="21"/>
  <c r="M20" i="21"/>
  <c r="L20" i="21"/>
  <c r="K20" i="21"/>
  <c r="J20" i="21"/>
  <c r="J21" i="21"/>
  <c r="I20" i="21"/>
  <c r="H20" i="21"/>
  <c r="G20" i="21"/>
  <c r="F20" i="21"/>
  <c r="E20" i="21"/>
  <c r="D20" i="21"/>
  <c r="C20" i="21"/>
  <c r="C25" i="21" s="1"/>
  <c r="E25" i="21"/>
  <c r="D25" i="21"/>
  <c r="C23" i="42" l="1"/>
  <c r="B19" i="42"/>
  <c r="AF49" i="42"/>
  <c r="I41" i="42"/>
  <c r="I40" i="42"/>
  <c r="I39" i="42"/>
  <c r="AC50" i="42"/>
  <c r="AE50" i="42" s="1"/>
  <c r="AF50" i="42" s="1"/>
  <c r="L18" i="42"/>
  <c r="L19" i="42" s="1"/>
  <c r="C24" i="42"/>
  <c r="K15" i="21"/>
  <c r="J15" i="21"/>
  <c r="H15" i="21"/>
  <c r="G15" i="21"/>
  <c r="E15" i="21"/>
  <c r="F15" i="21"/>
  <c r="D15" i="21"/>
  <c r="C15" i="21"/>
  <c r="C14" i="21"/>
  <c r="K14" i="21"/>
  <c r="J14" i="21"/>
  <c r="I14" i="21"/>
  <c r="H14" i="21"/>
  <c r="G14" i="21"/>
  <c r="E14" i="21"/>
  <c r="D14" i="21"/>
  <c r="I55" i="40" l="1"/>
  <c r="I54" i="40"/>
  <c r="Q53" i="40"/>
  <c r="R52" i="40"/>
  <c r="I43" i="40" s="1"/>
  <c r="Q52" i="40"/>
  <c r="Q51" i="40"/>
  <c r="J51" i="40"/>
  <c r="I51" i="40"/>
  <c r="AD50" i="40"/>
  <c r="AH47" i="40" s="1"/>
  <c r="AH48" i="40" s="1"/>
  <c r="AH49" i="40" s="1"/>
  <c r="AH50" i="40" s="1"/>
  <c r="AC50" i="40"/>
  <c r="AE50" i="40" s="1"/>
  <c r="R50" i="40"/>
  <c r="Q50" i="40"/>
  <c r="AD49" i="40"/>
  <c r="AC49" i="40" s="1"/>
  <c r="AE49" i="40" s="1"/>
  <c r="AA49" i="40"/>
  <c r="Z50" i="40" s="1"/>
  <c r="Z49" i="40"/>
  <c r="R49" i="40"/>
  <c r="Q49" i="40"/>
  <c r="AD48" i="40"/>
  <c r="AC48" i="40" s="1"/>
  <c r="AE48" i="40" s="1"/>
  <c r="AA48" i="40"/>
  <c r="AB48" i="40" s="1"/>
  <c r="AF48" i="40" s="1"/>
  <c r="Z48" i="40"/>
  <c r="R48" i="40"/>
  <c r="Q48" i="40"/>
  <c r="AD47" i="40"/>
  <c r="AE47" i="40" s="1"/>
  <c r="AC47" i="40"/>
  <c r="AA47" i="40"/>
  <c r="Z47" i="40"/>
  <c r="AB47" i="40" s="1"/>
  <c r="AF47" i="40" s="1"/>
  <c r="R47" i="40"/>
  <c r="Q47" i="40"/>
  <c r="R46" i="40"/>
  <c r="Q46" i="40"/>
  <c r="I45" i="40"/>
  <c r="I44" i="40"/>
  <c r="Q43" i="40"/>
  <c r="Q42" i="40"/>
  <c r="I42" i="40"/>
  <c r="AH40" i="40"/>
  <c r="AC40" i="40"/>
  <c r="Q39" i="40"/>
  <c r="Q38" i="40"/>
  <c r="U37" i="40"/>
  <c r="U39" i="40" s="1"/>
  <c r="Q37" i="40"/>
  <c r="AE36" i="40"/>
  <c r="R34" i="40"/>
  <c r="Q34" i="40"/>
  <c r="I34" i="40"/>
  <c r="R33" i="40"/>
  <c r="Q33" i="40"/>
  <c r="AC32" i="40"/>
  <c r="AA50" i="40" s="1"/>
  <c r="AB50" i="40" s="1"/>
  <c r="AF50" i="40" s="1"/>
  <c r="T32" i="40"/>
  <c r="R32" i="40"/>
  <c r="Q32" i="40"/>
  <c r="T31" i="40"/>
  <c r="R31" i="40"/>
  <c r="Q31" i="40"/>
  <c r="T30" i="40"/>
  <c r="R30" i="40"/>
  <c r="Q30" i="40"/>
  <c r="I30" i="40"/>
  <c r="T29" i="40"/>
  <c r="R29" i="40"/>
  <c r="Q29" i="40"/>
  <c r="I29" i="40"/>
  <c r="I28" i="40"/>
  <c r="V27" i="40"/>
  <c r="Q27" i="40"/>
  <c r="I27" i="40"/>
  <c r="AD26" i="40"/>
  <c r="V26" i="40"/>
  <c r="Q26" i="40"/>
  <c r="I26" i="40"/>
  <c r="AD25" i="40"/>
  <c r="AA25" i="40"/>
  <c r="AB25" i="40" s="1"/>
  <c r="Z25" i="40"/>
  <c r="I25" i="40"/>
  <c r="C25" i="40"/>
  <c r="B25" i="40"/>
  <c r="AD24" i="40"/>
  <c r="AC25" i="40" s="1"/>
  <c r="AE25" i="40" s="1"/>
  <c r="AA24" i="40"/>
  <c r="AB24" i="40" s="1"/>
  <c r="B24" i="40"/>
  <c r="AC23" i="40"/>
  <c r="AA23" i="40"/>
  <c r="Z24" i="40" s="1"/>
  <c r="Z23" i="40"/>
  <c r="B23" i="40"/>
  <c r="V21" i="40"/>
  <c r="Q21" i="40"/>
  <c r="R20" i="40"/>
  <c r="F14" i="40" s="1"/>
  <c r="Q20" i="40"/>
  <c r="V19" i="40"/>
  <c r="M8" i="40" s="1"/>
  <c r="Q19" i="40"/>
  <c r="M19" i="40"/>
  <c r="V18" i="40"/>
  <c r="R18" i="40"/>
  <c r="Q18" i="40"/>
  <c r="K18" i="40"/>
  <c r="J18" i="40"/>
  <c r="L18" i="40" s="1"/>
  <c r="D18" i="40"/>
  <c r="T43" i="40" s="1"/>
  <c r="AH16" i="40"/>
  <c r="AC16" i="40"/>
  <c r="Q15" i="40"/>
  <c r="K15" i="40"/>
  <c r="J15" i="40"/>
  <c r="L15" i="40" s="1"/>
  <c r="Q14" i="40"/>
  <c r="M14" i="40"/>
  <c r="Q13" i="40"/>
  <c r="M13" i="40"/>
  <c r="K13" i="40"/>
  <c r="J13" i="40"/>
  <c r="L13" i="40" s="1"/>
  <c r="AE12" i="40"/>
  <c r="AD23" i="40" s="1"/>
  <c r="Q12" i="40"/>
  <c r="M12" i="40"/>
  <c r="K12" i="40"/>
  <c r="J12" i="40"/>
  <c r="L12" i="40" s="1"/>
  <c r="U11" i="40"/>
  <c r="Q11" i="40"/>
  <c r="M11" i="40"/>
  <c r="L11" i="40"/>
  <c r="K11" i="40"/>
  <c r="J11" i="40"/>
  <c r="R10" i="40"/>
  <c r="Q10" i="40"/>
  <c r="M10" i="40"/>
  <c r="L10" i="40"/>
  <c r="K10" i="40"/>
  <c r="J10" i="40"/>
  <c r="Q9" i="40"/>
  <c r="M9" i="40"/>
  <c r="K9" i="40"/>
  <c r="J9" i="40"/>
  <c r="L9" i="40" s="1"/>
  <c r="AC8" i="40"/>
  <c r="AA26" i="40" s="1"/>
  <c r="Q8" i="40"/>
  <c r="K8" i="40"/>
  <c r="J8" i="40"/>
  <c r="J14" i="40" s="1"/>
  <c r="Q7" i="40"/>
  <c r="M7" i="40"/>
  <c r="K7" i="40"/>
  <c r="L7" i="40" s="1"/>
  <c r="J7" i="40"/>
  <c r="M5" i="40"/>
  <c r="L3" i="40"/>
  <c r="J3" i="40"/>
  <c r="I3" i="40"/>
  <c r="J2" i="40"/>
  <c r="F2" i="40"/>
  <c r="L1" i="40"/>
  <c r="J1" i="40"/>
  <c r="I1" i="40"/>
  <c r="AE23" i="40" l="1"/>
  <c r="AC24" i="40"/>
  <c r="AE24" i="40" s="1"/>
  <c r="AF24" i="40" s="1"/>
  <c r="AF25" i="40"/>
  <c r="AE26" i="40"/>
  <c r="AB26" i="40"/>
  <c r="AF26" i="40" s="1"/>
  <c r="M16" i="40"/>
  <c r="D28" i="40"/>
  <c r="F28" i="40"/>
  <c r="U38" i="40"/>
  <c r="L8" i="40"/>
  <c r="L14" i="40" s="1"/>
  <c r="L16" i="40" s="1"/>
  <c r="L19" i="40" s="1"/>
  <c r="AB23" i="40"/>
  <c r="AF23" i="40" s="1"/>
  <c r="D29" i="40"/>
  <c r="AB49" i="40"/>
  <c r="AF49" i="40" s="1"/>
  <c r="Z26" i="40"/>
  <c r="AC26" i="40"/>
  <c r="R51" i="40"/>
  <c r="D19" i="40" s="1"/>
  <c r="AH23" i="40"/>
  <c r="AH24" i="40" s="1"/>
  <c r="AH25" i="40" s="1"/>
  <c r="AH26" i="40" s="1"/>
  <c r="I35" i="40"/>
  <c r="T42" i="40"/>
  <c r="I36" i="40"/>
  <c r="R53" i="40"/>
  <c r="I55" i="39"/>
  <c r="I54" i="39"/>
  <c r="Q53" i="39"/>
  <c r="R52" i="39"/>
  <c r="I43" i="39" s="1"/>
  <c r="Q52" i="39"/>
  <c r="Q51" i="39"/>
  <c r="J51" i="39"/>
  <c r="I51" i="39"/>
  <c r="AD50" i="39"/>
  <c r="AH47" i="39" s="1"/>
  <c r="AH48" i="39" s="1"/>
  <c r="AH49" i="39" s="1"/>
  <c r="AH50" i="39" s="1"/>
  <c r="AC50" i="39"/>
  <c r="R50" i="39"/>
  <c r="Q50" i="39"/>
  <c r="AD49" i="39"/>
  <c r="AC49" i="39" s="1"/>
  <c r="AE49" i="39" s="1"/>
  <c r="AA49" i="39"/>
  <c r="Z50" i="39" s="1"/>
  <c r="Z49" i="39"/>
  <c r="R49" i="39"/>
  <c r="Q49" i="39"/>
  <c r="AD48" i="39"/>
  <c r="AA48" i="39"/>
  <c r="AB48" i="39" s="1"/>
  <c r="Z48" i="39"/>
  <c r="R48" i="39"/>
  <c r="Q48" i="39"/>
  <c r="AD47" i="39"/>
  <c r="AC48" i="39" s="1"/>
  <c r="AC47" i="39"/>
  <c r="AA47" i="39"/>
  <c r="AB47" i="39" s="1"/>
  <c r="Z47" i="39"/>
  <c r="R47" i="39"/>
  <c r="Q47" i="39"/>
  <c r="R46" i="39"/>
  <c r="Q46" i="39"/>
  <c r="I45" i="39"/>
  <c r="I44" i="39"/>
  <c r="Q43" i="39"/>
  <c r="Q42" i="39"/>
  <c r="I42" i="39"/>
  <c r="AH40" i="39"/>
  <c r="AC40" i="39"/>
  <c r="Q39" i="39"/>
  <c r="Q38" i="39"/>
  <c r="U37" i="39"/>
  <c r="U39" i="39" s="1"/>
  <c r="Q37" i="39"/>
  <c r="AE36" i="39"/>
  <c r="R34" i="39"/>
  <c r="Q34" i="39"/>
  <c r="I34" i="39"/>
  <c r="R33" i="39"/>
  <c r="Q33" i="39"/>
  <c r="AC32" i="39"/>
  <c r="AA50" i="39" s="1"/>
  <c r="AB50" i="39" s="1"/>
  <c r="T32" i="39"/>
  <c r="R32" i="39"/>
  <c r="Q32" i="39"/>
  <c r="T31" i="39"/>
  <c r="R31" i="39"/>
  <c r="Q31" i="39"/>
  <c r="T30" i="39"/>
  <c r="R30" i="39"/>
  <c r="Q30" i="39"/>
  <c r="I30" i="39"/>
  <c r="T29" i="39"/>
  <c r="R29" i="39"/>
  <c r="Q29" i="39"/>
  <c r="I29" i="39"/>
  <c r="I28" i="39"/>
  <c r="V27" i="39"/>
  <c r="Q27" i="39"/>
  <c r="I27" i="39"/>
  <c r="AD26" i="39"/>
  <c r="V26" i="39"/>
  <c r="Q26" i="39"/>
  <c r="I26" i="39"/>
  <c r="AD25" i="39"/>
  <c r="AA25" i="39"/>
  <c r="AB25" i="39" s="1"/>
  <c r="Z25" i="39"/>
  <c r="I25" i="39"/>
  <c r="C25" i="39"/>
  <c r="B25" i="39"/>
  <c r="AD24" i="39"/>
  <c r="AC25" i="39" s="1"/>
  <c r="AA24" i="39"/>
  <c r="AB24" i="39" s="1"/>
  <c r="B24" i="39"/>
  <c r="AC23" i="39"/>
  <c r="AA23" i="39"/>
  <c r="Z24" i="39" s="1"/>
  <c r="Z23" i="39"/>
  <c r="AB23" i="39" s="1"/>
  <c r="B23" i="39"/>
  <c r="V21" i="39"/>
  <c r="Q21" i="39"/>
  <c r="R20" i="39"/>
  <c r="F14" i="39" s="1"/>
  <c r="Q20" i="39"/>
  <c r="V19" i="39"/>
  <c r="Q19" i="39"/>
  <c r="M19" i="39"/>
  <c r="V18" i="39"/>
  <c r="M8" i="39" s="1"/>
  <c r="R18" i="39"/>
  <c r="Q18" i="39"/>
  <c r="K18" i="39"/>
  <c r="L18" i="39" s="1"/>
  <c r="J18" i="39"/>
  <c r="D18" i="39"/>
  <c r="T43" i="39" s="1"/>
  <c r="AH16" i="39"/>
  <c r="AC16" i="39"/>
  <c r="Q15" i="39"/>
  <c r="K15" i="39"/>
  <c r="J15" i="39"/>
  <c r="L15" i="39" s="1"/>
  <c r="Q14" i="39"/>
  <c r="M14" i="39"/>
  <c r="Q13" i="39"/>
  <c r="M13" i="39"/>
  <c r="K13" i="39"/>
  <c r="J13" i="39"/>
  <c r="L13" i="39" s="1"/>
  <c r="AE12" i="39"/>
  <c r="AD23" i="39" s="1"/>
  <c r="Q12" i="39"/>
  <c r="M12" i="39"/>
  <c r="K12" i="39"/>
  <c r="J12" i="39"/>
  <c r="L12" i="39" s="1"/>
  <c r="U11" i="39"/>
  <c r="Q11" i="39"/>
  <c r="M11" i="39"/>
  <c r="K11" i="39"/>
  <c r="J11" i="39"/>
  <c r="L11" i="39" s="1"/>
  <c r="R10" i="39"/>
  <c r="Q10" i="39"/>
  <c r="M10" i="39"/>
  <c r="L10" i="39"/>
  <c r="K10" i="39"/>
  <c r="J10" i="39"/>
  <c r="Q9" i="39"/>
  <c r="M9" i="39"/>
  <c r="K9" i="39"/>
  <c r="J9" i="39"/>
  <c r="L9" i="39" s="1"/>
  <c r="AC8" i="39"/>
  <c r="AA26" i="39" s="1"/>
  <c r="Q8" i="39"/>
  <c r="K8" i="39"/>
  <c r="J8" i="39"/>
  <c r="J14" i="39" s="1"/>
  <c r="Q7" i="39"/>
  <c r="M7" i="39"/>
  <c r="K7" i="39"/>
  <c r="J7" i="39"/>
  <c r="M5" i="39"/>
  <c r="L3" i="39"/>
  <c r="J3" i="39"/>
  <c r="I3" i="39"/>
  <c r="J2" i="39"/>
  <c r="F2" i="39"/>
  <c r="L1" i="39"/>
  <c r="J1" i="39"/>
  <c r="I1" i="39"/>
  <c r="I55" i="38"/>
  <c r="I54" i="38"/>
  <c r="Q53" i="38"/>
  <c r="R52" i="38"/>
  <c r="I43" i="38" s="1"/>
  <c r="Q52" i="38"/>
  <c r="Q51" i="38"/>
  <c r="J51" i="38"/>
  <c r="I51" i="38"/>
  <c r="AE50" i="38"/>
  <c r="AD50" i="38"/>
  <c r="AH47" i="38" s="1"/>
  <c r="AH48" i="38" s="1"/>
  <c r="AH49" i="38" s="1"/>
  <c r="AH50" i="38" s="1"/>
  <c r="AC50" i="38"/>
  <c r="R50" i="38"/>
  <c r="Q50" i="38"/>
  <c r="AD49" i="38"/>
  <c r="AC49" i="38" s="1"/>
  <c r="AE49" i="38" s="1"/>
  <c r="AA49" i="38"/>
  <c r="Z50" i="38" s="1"/>
  <c r="Z49" i="38"/>
  <c r="R49" i="38"/>
  <c r="Q49" i="38"/>
  <c r="AD48" i="38"/>
  <c r="AA48" i="38"/>
  <c r="AB48" i="38" s="1"/>
  <c r="Z48" i="38"/>
  <c r="R48" i="38"/>
  <c r="Q48" i="38"/>
  <c r="AD47" i="38"/>
  <c r="AC48" i="38" s="1"/>
  <c r="AE48" i="38" s="1"/>
  <c r="AC47" i="38"/>
  <c r="AB47" i="38"/>
  <c r="AA47" i="38"/>
  <c r="Z47" i="38"/>
  <c r="R47" i="38"/>
  <c r="Q47" i="38"/>
  <c r="R46" i="38"/>
  <c r="C25" i="38" s="1"/>
  <c r="Q46" i="38"/>
  <c r="Q43" i="38"/>
  <c r="Q42" i="38"/>
  <c r="AH40" i="38"/>
  <c r="AC40" i="38"/>
  <c r="Q39" i="38"/>
  <c r="Q38" i="38"/>
  <c r="U37" i="38"/>
  <c r="M16" i="38" s="1"/>
  <c r="Q37" i="38"/>
  <c r="AE36" i="38"/>
  <c r="R34" i="38"/>
  <c r="Q34" i="38"/>
  <c r="I34" i="38"/>
  <c r="R33" i="38"/>
  <c r="Q33" i="38"/>
  <c r="AC32" i="38"/>
  <c r="AA50" i="38" s="1"/>
  <c r="AB50" i="38" s="1"/>
  <c r="AF50" i="38" s="1"/>
  <c r="T32" i="38"/>
  <c r="R32" i="38"/>
  <c r="Q32" i="38"/>
  <c r="T31" i="38"/>
  <c r="R31" i="38"/>
  <c r="Q31" i="38"/>
  <c r="T30" i="38"/>
  <c r="R30" i="38"/>
  <c r="Q30" i="38"/>
  <c r="I30" i="38"/>
  <c r="T29" i="38"/>
  <c r="R29" i="38"/>
  <c r="Q29" i="38"/>
  <c r="I29" i="38"/>
  <c r="I28" i="38"/>
  <c r="V27" i="38"/>
  <c r="Q27" i="38"/>
  <c r="I27" i="38"/>
  <c r="AD26" i="38"/>
  <c r="Z26" i="38"/>
  <c r="V26" i="38"/>
  <c r="Q26" i="38"/>
  <c r="I26" i="38"/>
  <c r="AD25" i="38"/>
  <c r="AA25" i="38"/>
  <c r="AB25" i="38" s="1"/>
  <c r="Z25" i="38"/>
  <c r="I25" i="38"/>
  <c r="AD24" i="38"/>
  <c r="AC25" i="38" s="1"/>
  <c r="AE25" i="38" s="1"/>
  <c r="AA24" i="38"/>
  <c r="AB24" i="38" s="1"/>
  <c r="AC23" i="38"/>
  <c r="AA23" i="38"/>
  <c r="Z24" i="38" s="1"/>
  <c r="Z23" i="38"/>
  <c r="V21" i="38"/>
  <c r="Q21" i="38"/>
  <c r="R20" i="38"/>
  <c r="Q20" i="38"/>
  <c r="V19" i="38"/>
  <c r="M8" i="38" s="1"/>
  <c r="Q19" i="38"/>
  <c r="M19" i="38"/>
  <c r="V18" i="38"/>
  <c r="R18" i="38"/>
  <c r="Q18" i="38"/>
  <c r="K18" i="38"/>
  <c r="D18" i="38"/>
  <c r="T43" i="38" s="1"/>
  <c r="I44" i="38" s="1"/>
  <c r="AH16" i="38"/>
  <c r="AC16" i="38"/>
  <c r="Q15" i="38"/>
  <c r="L15" i="38"/>
  <c r="K15" i="38"/>
  <c r="J15" i="38"/>
  <c r="Q14" i="38"/>
  <c r="M14" i="38"/>
  <c r="F14" i="38"/>
  <c r="Q13" i="38"/>
  <c r="M13" i="38"/>
  <c r="K13" i="38"/>
  <c r="J13" i="38"/>
  <c r="L13" i="38" s="1"/>
  <c r="AE12" i="38"/>
  <c r="AD23" i="38" s="1"/>
  <c r="Q12" i="38"/>
  <c r="M12" i="38"/>
  <c r="L12" i="38"/>
  <c r="K12" i="38"/>
  <c r="J12" i="38"/>
  <c r="U11" i="38"/>
  <c r="Q11" i="38"/>
  <c r="M11" i="38"/>
  <c r="K11" i="38"/>
  <c r="J11" i="38"/>
  <c r="L11" i="38" s="1"/>
  <c r="R10" i="38"/>
  <c r="Q10" i="38"/>
  <c r="M10" i="38"/>
  <c r="K10" i="38"/>
  <c r="J10" i="38"/>
  <c r="Q9" i="38"/>
  <c r="M9" i="38"/>
  <c r="K9" i="38"/>
  <c r="J9" i="38"/>
  <c r="L9" i="38" s="1"/>
  <c r="AC8" i="38"/>
  <c r="AA26" i="38" s="1"/>
  <c r="AB26" i="38" s="1"/>
  <c r="Q8" i="38"/>
  <c r="K8" i="38"/>
  <c r="J8" i="38"/>
  <c r="Q7" i="38"/>
  <c r="M7" i="38"/>
  <c r="K7" i="38"/>
  <c r="J7" i="38"/>
  <c r="M5" i="38"/>
  <c r="L3" i="38"/>
  <c r="J3" i="38"/>
  <c r="I3" i="38"/>
  <c r="J2" i="38"/>
  <c r="F2" i="38"/>
  <c r="L1" i="38"/>
  <c r="J1" i="38"/>
  <c r="I1" i="38"/>
  <c r="L7" i="39" l="1"/>
  <c r="B30" i="40"/>
  <c r="F30" i="40"/>
  <c r="D30" i="40"/>
  <c r="B19" i="40"/>
  <c r="C23" i="40"/>
  <c r="I41" i="40"/>
  <c r="I40" i="40"/>
  <c r="I39" i="40"/>
  <c r="C24" i="40"/>
  <c r="AE23" i="39"/>
  <c r="AC24" i="39"/>
  <c r="AF47" i="39"/>
  <c r="AF50" i="39"/>
  <c r="AE48" i="39"/>
  <c r="AF48" i="39" s="1"/>
  <c r="AB26" i="39"/>
  <c r="AE25" i="39"/>
  <c r="AF25" i="39" s="1"/>
  <c r="AE26" i="39"/>
  <c r="AF23" i="39"/>
  <c r="M16" i="39"/>
  <c r="D28" i="39"/>
  <c r="AE47" i="39"/>
  <c r="AE24" i="39"/>
  <c r="AF24" i="39" s="1"/>
  <c r="F28" i="39"/>
  <c r="U38" i="39"/>
  <c r="AE50" i="39"/>
  <c r="L8" i="39"/>
  <c r="D29" i="39"/>
  <c r="AB49" i="39"/>
  <c r="AF49" i="39" s="1"/>
  <c r="Z26" i="39"/>
  <c r="AC26" i="39"/>
  <c r="R51" i="39"/>
  <c r="D19" i="39" s="1"/>
  <c r="AH23" i="39"/>
  <c r="AH24" i="39" s="1"/>
  <c r="AH25" i="39" s="1"/>
  <c r="AH26" i="39" s="1"/>
  <c r="I35" i="39"/>
  <c r="T42" i="39"/>
  <c r="I36" i="39"/>
  <c r="R53" i="39"/>
  <c r="B25" i="38"/>
  <c r="B23" i="38"/>
  <c r="I42" i="38"/>
  <c r="J18" i="38"/>
  <c r="L18" i="38" s="1"/>
  <c r="B24" i="38"/>
  <c r="L10" i="38"/>
  <c r="L7" i="38"/>
  <c r="J14" i="38"/>
  <c r="AF25" i="38"/>
  <c r="AF48" i="38"/>
  <c r="AC24" i="38"/>
  <c r="AE24" i="38" s="1"/>
  <c r="AF24" i="38" s="1"/>
  <c r="AE23" i="38"/>
  <c r="D28" i="38"/>
  <c r="AE47" i="38"/>
  <c r="AF47" i="38" s="1"/>
  <c r="AB23" i="38"/>
  <c r="AF23" i="38" s="1"/>
  <c r="D29" i="38"/>
  <c r="AB49" i="38"/>
  <c r="AF49" i="38" s="1"/>
  <c r="L8" i="38"/>
  <c r="U39" i="38"/>
  <c r="F28" i="38"/>
  <c r="AC26" i="38"/>
  <c r="AE26" i="38" s="1"/>
  <c r="AF26" i="38" s="1"/>
  <c r="R51" i="38"/>
  <c r="D19" i="38" s="1"/>
  <c r="U38" i="38"/>
  <c r="AH23" i="38"/>
  <c r="AH24" i="38" s="1"/>
  <c r="AH25" i="38" s="1"/>
  <c r="AH26" i="38" s="1"/>
  <c r="I35" i="38"/>
  <c r="T42" i="38"/>
  <c r="I36" i="38"/>
  <c r="R53" i="38"/>
  <c r="L14" i="39" l="1"/>
  <c r="L16" i="39" s="1"/>
  <c r="L19" i="39" s="1"/>
  <c r="I41" i="39"/>
  <c r="I40" i="39"/>
  <c r="I39" i="39"/>
  <c r="AF26" i="39"/>
  <c r="C24" i="39"/>
  <c r="F30" i="39"/>
  <c r="B30" i="39"/>
  <c r="B19" i="39"/>
  <c r="C23" i="39"/>
  <c r="D30" i="39"/>
  <c r="L14" i="38"/>
  <c r="L16" i="38" s="1"/>
  <c r="L19" i="38" s="1"/>
  <c r="B30" i="38"/>
  <c r="F30" i="38"/>
  <c r="D30" i="38"/>
  <c r="I45" i="38"/>
  <c r="B19" i="38"/>
  <c r="C23" i="38"/>
  <c r="I41" i="38"/>
  <c r="I40" i="38"/>
  <c r="I39" i="38"/>
  <c r="C24" i="38"/>
  <c r="E2" i="3" l="1"/>
  <c r="E3" i="3"/>
  <c r="Q18" i="3" l="1"/>
  <c r="J7" i="36" l="1"/>
  <c r="C16" i="21" l="1"/>
  <c r="D16" i="21"/>
  <c r="E16" i="21"/>
  <c r="F16" i="21"/>
  <c r="G16" i="21"/>
  <c r="H16" i="21"/>
  <c r="I16" i="21"/>
  <c r="J16" i="21"/>
  <c r="K16" i="21"/>
  <c r="L16" i="21"/>
  <c r="M16" i="21"/>
  <c r="N16" i="21"/>
  <c r="L5" i="21" l="1"/>
  <c r="J11" i="28" l="1"/>
  <c r="C18" i="21" l="1"/>
  <c r="I55" i="36" l="1"/>
  <c r="I54" i="36"/>
  <c r="Q53" i="36"/>
  <c r="R52" i="36"/>
  <c r="Q52" i="36"/>
  <c r="Q51" i="36"/>
  <c r="J51" i="36"/>
  <c r="I51" i="36"/>
  <c r="AD50" i="36"/>
  <c r="R50" i="36"/>
  <c r="Q50" i="36"/>
  <c r="AD49" i="36"/>
  <c r="AA49" i="36"/>
  <c r="Z50" i="36" s="1"/>
  <c r="R49" i="36"/>
  <c r="Q49" i="36"/>
  <c r="AD48" i="36"/>
  <c r="AA48" i="36"/>
  <c r="R48" i="36"/>
  <c r="Q48" i="36"/>
  <c r="AH47" i="36"/>
  <c r="AH48" i="36" s="1"/>
  <c r="AH49" i="36" s="1"/>
  <c r="AH50" i="36" s="1"/>
  <c r="AC47" i="36"/>
  <c r="AA47" i="36"/>
  <c r="Z48" i="36" s="1"/>
  <c r="Z47" i="36"/>
  <c r="R47" i="36"/>
  <c r="Q47" i="36"/>
  <c r="R46" i="36"/>
  <c r="C25" i="36" s="1"/>
  <c r="Q46" i="36"/>
  <c r="Q43" i="36"/>
  <c r="Q42" i="36"/>
  <c r="AH40" i="36"/>
  <c r="Q39" i="36"/>
  <c r="Q38" i="36"/>
  <c r="U37" i="36"/>
  <c r="Q37" i="36"/>
  <c r="AE36" i="36"/>
  <c r="AD47" i="36" s="1"/>
  <c r="R34" i="36"/>
  <c r="Q34" i="36"/>
  <c r="I34" i="36"/>
  <c r="R33" i="36"/>
  <c r="Q33" i="36"/>
  <c r="AC32" i="36"/>
  <c r="AC40" i="36" s="1"/>
  <c r="T32" i="36"/>
  <c r="R32" i="36"/>
  <c r="Q32" i="36"/>
  <c r="T31" i="36"/>
  <c r="R31" i="36"/>
  <c r="Q31" i="36"/>
  <c r="T30" i="36"/>
  <c r="R30" i="36"/>
  <c r="Q30" i="36"/>
  <c r="I30" i="36"/>
  <c r="T29" i="36"/>
  <c r="R29" i="36"/>
  <c r="Q29" i="36"/>
  <c r="I29" i="36"/>
  <c r="I28" i="36"/>
  <c r="V27" i="36"/>
  <c r="Q27" i="36"/>
  <c r="I27" i="36"/>
  <c r="AD26" i="36"/>
  <c r="V26" i="36"/>
  <c r="Q26" i="36"/>
  <c r="I26" i="36"/>
  <c r="AD25" i="36"/>
  <c r="AA25" i="36"/>
  <c r="Z26" i="36" s="1"/>
  <c r="Z25" i="36"/>
  <c r="AB25" i="36" s="1"/>
  <c r="I25" i="36"/>
  <c r="AD24" i="36"/>
  <c r="AA24" i="36"/>
  <c r="AC23" i="36"/>
  <c r="AA23" i="36"/>
  <c r="Z24" i="36" s="1"/>
  <c r="AB24" i="36" s="1"/>
  <c r="Z23" i="36"/>
  <c r="V21" i="36"/>
  <c r="Q21" i="36"/>
  <c r="R20" i="36"/>
  <c r="F14" i="36" s="1"/>
  <c r="Q20" i="36"/>
  <c r="V19" i="36"/>
  <c r="Q19" i="36"/>
  <c r="M19" i="36"/>
  <c r="V18" i="36"/>
  <c r="R18" i="36"/>
  <c r="Q18" i="36"/>
  <c r="D18" i="36"/>
  <c r="AH16" i="36"/>
  <c r="Q15" i="36"/>
  <c r="K15" i="36"/>
  <c r="J15" i="36"/>
  <c r="Q14" i="36"/>
  <c r="M14" i="36"/>
  <c r="Q13" i="36"/>
  <c r="M13" i="36"/>
  <c r="K13" i="36"/>
  <c r="J13" i="36"/>
  <c r="L13" i="36" s="1"/>
  <c r="AE12" i="36"/>
  <c r="AD23" i="36" s="1"/>
  <c r="AE23" i="36" s="1"/>
  <c r="Q12" i="36"/>
  <c r="M12" i="36"/>
  <c r="K12" i="36"/>
  <c r="J12" i="36"/>
  <c r="L12" i="36" s="1"/>
  <c r="U11" i="36"/>
  <c r="Q11" i="36"/>
  <c r="M11" i="36"/>
  <c r="K11" i="36"/>
  <c r="J11" i="36"/>
  <c r="L11" i="36" s="1"/>
  <c r="R10" i="36"/>
  <c r="Q10" i="36"/>
  <c r="M10" i="36"/>
  <c r="K10" i="36"/>
  <c r="J10" i="36"/>
  <c r="Q9" i="36"/>
  <c r="M9" i="36"/>
  <c r="K9" i="36"/>
  <c r="J9" i="36"/>
  <c r="AC8" i="36"/>
  <c r="AA26" i="36" s="1"/>
  <c r="Q8" i="36"/>
  <c r="M8" i="36"/>
  <c r="K8" i="36"/>
  <c r="K18" i="36" s="1"/>
  <c r="J8" i="36"/>
  <c r="Q7" i="36"/>
  <c r="M7" i="36"/>
  <c r="K7" i="36"/>
  <c r="M5" i="36"/>
  <c r="L3" i="36"/>
  <c r="J3" i="36"/>
  <c r="I3" i="36"/>
  <c r="J2" i="36"/>
  <c r="F2" i="36"/>
  <c r="L1" i="36"/>
  <c r="J1" i="36"/>
  <c r="I1" i="36"/>
  <c r="AB26" i="36" l="1"/>
  <c r="L9" i="36"/>
  <c r="L10" i="36"/>
  <c r="B23" i="36"/>
  <c r="B24" i="36"/>
  <c r="B25" i="36"/>
  <c r="I42" i="36"/>
  <c r="I43" i="36"/>
  <c r="J14" i="36"/>
  <c r="D29" i="36"/>
  <c r="AB47" i="36"/>
  <c r="U39" i="36"/>
  <c r="M16" i="36"/>
  <c r="D28" i="36"/>
  <c r="F30" i="36"/>
  <c r="AE47" i="36"/>
  <c r="AC48" i="36"/>
  <c r="AE48" i="36" s="1"/>
  <c r="AB48" i="36"/>
  <c r="L8" i="36"/>
  <c r="AC16" i="36"/>
  <c r="J18" i="36"/>
  <c r="L18" i="36" s="1"/>
  <c r="AB23" i="36"/>
  <c r="AF23" i="36" s="1"/>
  <c r="AH23" i="36"/>
  <c r="AH24" i="36" s="1"/>
  <c r="AH25" i="36" s="1"/>
  <c r="AH26" i="36" s="1"/>
  <c r="AC24" i="36"/>
  <c r="AE24" i="36" s="1"/>
  <c r="AF24" i="36" s="1"/>
  <c r="AC25" i="36"/>
  <c r="AE25" i="36" s="1"/>
  <c r="AF25" i="36" s="1"/>
  <c r="AC26" i="36"/>
  <c r="AE26" i="36" s="1"/>
  <c r="AF26" i="36" s="1"/>
  <c r="F28" i="36"/>
  <c r="I35" i="36"/>
  <c r="U38" i="36"/>
  <c r="T42" i="36"/>
  <c r="Z49" i="36"/>
  <c r="AB49" i="36" s="1"/>
  <c r="AA50" i="36"/>
  <c r="AB50" i="36" s="1"/>
  <c r="AC50" i="36"/>
  <c r="AE50" i="36" s="1"/>
  <c r="L7" i="36"/>
  <c r="L15" i="36"/>
  <c r="I36" i="36"/>
  <c r="T43" i="36"/>
  <c r="R53" i="36" s="1"/>
  <c r="I45" i="36" s="1"/>
  <c r="AC49" i="36"/>
  <c r="AE49" i="36" s="1"/>
  <c r="R51" i="36"/>
  <c r="D19" i="36" s="1"/>
  <c r="K18" i="21"/>
  <c r="J18" i="21"/>
  <c r="I18" i="21"/>
  <c r="H18" i="21"/>
  <c r="G18" i="21"/>
  <c r="F18" i="21"/>
  <c r="E18" i="21"/>
  <c r="D18" i="21"/>
  <c r="AF47" i="36" l="1"/>
  <c r="AF48" i="36"/>
  <c r="B30" i="36"/>
  <c r="L14" i="36"/>
  <c r="L16" i="36" s="1"/>
  <c r="L19" i="36" s="1"/>
  <c r="I44" i="36"/>
  <c r="D30" i="36"/>
  <c r="AF50" i="36"/>
  <c r="C23" i="36"/>
  <c r="B19" i="36"/>
  <c r="AF49" i="36"/>
  <c r="C24" i="36"/>
  <c r="I41" i="36"/>
  <c r="I39" i="36"/>
  <c r="I40" i="36"/>
  <c r="I55" i="35"/>
  <c r="I54" i="35"/>
  <c r="Q53" i="35"/>
  <c r="R52" i="35"/>
  <c r="I43" i="35" s="1"/>
  <c r="Q52" i="35"/>
  <c r="Q51" i="35"/>
  <c r="J51" i="35"/>
  <c r="I51" i="35"/>
  <c r="AD50" i="35"/>
  <c r="R50" i="35"/>
  <c r="B25" i="35" s="1"/>
  <c r="Q50" i="35"/>
  <c r="AD49" i="35"/>
  <c r="AC50" i="35" s="1"/>
  <c r="AA49" i="35"/>
  <c r="Z50" i="35" s="1"/>
  <c r="R49" i="35"/>
  <c r="Q49" i="35"/>
  <c r="AD48" i="35"/>
  <c r="AA48" i="35"/>
  <c r="Z49" i="35" s="1"/>
  <c r="R48" i="35"/>
  <c r="Q48" i="35"/>
  <c r="AH47" i="35"/>
  <c r="AH48" i="35" s="1"/>
  <c r="AH49" i="35" s="1"/>
  <c r="AH50" i="35" s="1"/>
  <c r="AC47" i="35"/>
  <c r="AA47" i="35"/>
  <c r="Z48" i="35" s="1"/>
  <c r="Z47" i="35"/>
  <c r="R47" i="35"/>
  <c r="Q47" i="35"/>
  <c r="R46" i="35"/>
  <c r="C25" i="35" s="1"/>
  <c r="Q46" i="35"/>
  <c r="Q43" i="35"/>
  <c r="Q42" i="35"/>
  <c r="AH40" i="35"/>
  <c r="Q39" i="35"/>
  <c r="Q38" i="35"/>
  <c r="U37" i="35"/>
  <c r="Q37" i="35"/>
  <c r="AE36" i="35"/>
  <c r="AD47" i="35" s="1"/>
  <c r="R34" i="35"/>
  <c r="Q34" i="35"/>
  <c r="I34" i="35"/>
  <c r="R33" i="35"/>
  <c r="Q33" i="35"/>
  <c r="AC32" i="35"/>
  <c r="AC40" i="35" s="1"/>
  <c r="T32" i="35"/>
  <c r="R32" i="35"/>
  <c r="Q32" i="35"/>
  <c r="T31" i="35"/>
  <c r="R31" i="35"/>
  <c r="Q31" i="35"/>
  <c r="T30" i="35"/>
  <c r="R30" i="35"/>
  <c r="Q30" i="35"/>
  <c r="I30" i="35"/>
  <c r="T29" i="35"/>
  <c r="R29" i="35"/>
  <c r="Q29" i="35"/>
  <c r="I29" i="35"/>
  <c r="I28" i="35"/>
  <c r="V27" i="35"/>
  <c r="Q27" i="35"/>
  <c r="I27" i="35"/>
  <c r="AD26" i="35"/>
  <c r="AA26" i="35"/>
  <c r="V26" i="35"/>
  <c r="Q26" i="35"/>
  <c r="I26" i="35"/>
  <c r="AD25" i="35"/>
  <c r="AA25" i="35"/>
  <c r="Z26" i="35" s="1"/>
  <c r="I25" i="35"/>
  <c r="AD24" i="35"/>
  <c r="AA24" i="35"/>
  <c r="Z25" i="35" s="1"/>
  <c r="AC23" i="35"/>
  <c r="AA23" i="35"/>
  <c r="AB23" i="35" s="1"/>
  <c r="Z23" i="35"/>
  <c r="V21" i="35"/>
  <c r="J15" i="35" s="1"/>
  <c r="L15" i="35" s="1"/>
  <c r="Q21" i="35"/>
  <c r="R20" i="35"/>
  <c r="F14" i="35" s="1"/>
  <c r="Q20" i="35"/>
  <c r="V19" i="35"/>
  <c r="M8" i="35" s="1"/>
  <c r="Q19" i="35"/>
  <c r="M19" i="35"/>
  <c r="V18" i="35"/>
  <c r="R18" i="35"/>
  <c r="Q18" i="35"/>
  <c r="D18" i="35"/>
  <c r="T43" i="35" s="1"/>
  <c r="I44" i="35" s="1"/>
  <c r="AH16" i="35"/>
  <c r="Q15" i="35"/>
  <c r="K15" i="35"/>
  <c r="Q14" i="35"/>
  <c r="M14" i="35"/>
  <c r="Q13" i="35"/>
  <c r="M13" i="35"/>
  <c r="K13" i="35"/>
  <c r="J13" i="35"/>
  <c r="AE12" i="35"/>
  <c r="AD23" i="35" s="1"/>
  <c r="Q12" i="35"/>
  <c r="M12" i="35"/>
  <c r="K12" i="35"/>
  <c r="J12" i="35"/>
  <c r="U11" i="35"/>
  <c r="Q11" i="35"/>
  <c r="M11" i="35"/>
  <c r="K11" i="35"/>
  <c r="J11" i="35"/>
  <c r="R10" i="35"/>
  <c r="Q10" i="35"/>
  <c r="M10" i="35"/>
  <c r="K10" i="35"/>
  <c r="J10" i="35"/>
  <c r="L10" i="35" s="1"/>
  <c r="Q9" i="35"/>
  <c r="M9" i="35"/>
  <c r="K9" i="35"/>
  <c r="J9" i="35"/>
  <c r="L9" i="35" s="1"/>
  <c r="AC8" i="35"/>
  <c r="AC16" i="35" s="1"/>
  <c r="Q8" i="35"/>
  <c r="K8" i="35"/>
  <c r="K18" i="35" s="1"/>
  <c r="J8" i="35"/>
  <c r="Q7" i="35"/>
  <c r="M7" i="35"/>
  <c r="K7" i="35"/>
  <c r="J7" i="35"/>
  <c r="M5" i="35"/>
  <c r="L3" i="35"/>
  <c r="J3" i="35"/>
  <c r="I3" i="35"/>
  <c r="J2" i="35"/>
  <c r="F2" i="35"/>
  <c r="L1" i="35"/>
  <c r="J1" i="35"/>
  <c r="I1" i="35"/>
  <c r="AE50" i="35" l="1"/>
  <c r="AC25" i="35"/>
  <c r="AB26" i="35"/>
  <c r="U39" i="35"/>
  <c r="L18" i="21" s="1"/>
  <c r="N18" i="21"/>
  <c r="D28" i="35"/>
  <c r="Z24" i="35"/>
  <c r="AB49" i="35"/>
  <c r="L8" i="35"/>
  <c r="L12" i="35"/>
  <c r="L13" i="35"/>
  <c r="AC26" i="35"/>
  <c r="AE26" i="35" s="1"/>
  <c r="AF26" i="35" s="1"/>
  <c r="B23" i="35"/>
  <c r="B24" i="35"/>
  <c r="AC24" i="35"/>
  <c r="AE24" i="35" s="1"/>
  <c r="J14" i="35"/>
  <c r="I35" i="35"/>
  <c r="I42" i="35"/>
  <c r="T42" i="35"/>
  <c r="I39" i="35" s="1"/>
  <c r="D29" i="35"/>
  <c r="AB25" i="35"/>
  <c r="AB48" i="35"/>
  <c r="AC48" i="35"/>
  <c r="AE48" i="35" s="1"/>
  <c r="AE47" i="35"/>
  <c r="L11" i="35"/>
  <c r="AE25" i="35"/>
  <c r="L7" i="35"/>
  <c r="AE23" i="35"/>
  <c r="AF23" i="35" s="1"/>
  <c r="AB24" i="35"/>
  <c r="R51" i="35"/>
  <c r="AH23" i="35"/>
  <c r="AH24" i="35" s="1"/>
  <c r="AH25" i="35" s="1"/>
  <c r="AH26" i="35" s="1"/>
  <c r="F28" i="35"/>
  <c r="U38" i="35"/>
  <c r="M18" i="21" s="1"/>
  <c r="J18" i="35"/>
  <c r="L18" i="35" s="1"/>
  <c r="M16" i="35"/>
  <c r="I36" i="35"/>
  <c r="AC49" i="35"/>
  <c r="AE49" i="35" s="1"/>
  <c r="AF49" i="35" s="1"/>
  <c r="R53" i="35"/>
  <c r="I45" i="35" s="1"/>
  <c r="AB47" i="35"/>
  <c r="AA50" i="35"/>
  <c r="AB50" i="35" s="1"/>
  <c r="AF50" i="35" s="1"/>
  <c r="G11" i="21"/>
  <c r="K11" i="21"/>
  <c r="J11" i="21"/>
  <c r="I11" i="21"/>
  <c r="H11" i="21"/>
  <c r="F11" i="21"/>
  <c r="E11" i="21"/>
  <c r="D11" i="21"/>
  <c r="C11" i="21"/>
  <c r="AF24" i="35" l="1"/>
  <c r="L14" i="35"/>
  <c r="L16" i="35" s="1"/>
  <c r="D30" i="35"/>
  <c r="AF47" i="35"/>
  <c r="AF48" i="35"/>
  <c r="I40" i="35"/>
  <c r="B30" i="35"/>
  <c r="I41" i="35"/>
  <c r="L19" i="35"/>
  <c r="AF25" i="35"/>
  <c r="F30" i="35"/>
  <c r="B19" i="35"/>
  <c r="C23" i="35"/>
  <c r="D19" i="35"/>
  <c r="C24" i="35"/>
  <c r="I55" i="34"/>
  <c r="I54" i="34"/>
  <c r="Q53" i="34"/>
  <c r="R52" i="34"/>
  <c r="Q52" i="34"/>
  <c r="Q51" i="34"/>
  <c r="J51" i="34"/>
  <c r="I51" i="34"/>
  <c r="R50" i="34"/>
  <c r="Q50" i="34"/>
  <c r="AD49" i="34"/>
  <c r="R49" i="34"/>
  <c r="Q49" i="34"/>
  <c r="AD48" i="34"/>
  <c r="AA48" i="34"/>
  <c r="R48" i="34"/>
  <c r="B23" i="34" s="1"/>
  <c r="Q48" i="34"/>
  <c r="AC47" i="34"/>
  <c r="AA47" i="34"/>
  <c r="Z48" i="34" s="1"/>
  <c r="Z47" i="34"/>
  <c r="AB47" i="34" s="1"/>
  <c r="R47" i="34"/>
  <c r="Q47" i="34"/>
  <c r="R46" i="34"/>
  <c r="C25" i="34" s="1"/>
  <c r="Q46" i="34"/>
  <c r="I45" i="34"/>
  <c r="I44" i="34"/>
  <c r="AE43" i="34"/>
  <c r="AA43" i="34"/>
  <c r="Q43" i="34"/>
  <c r="I43" i="34"/>
  <c r="Q42" i="34"/>
  <c r="I42" i="34"/>
  <c r="AH40" i="34"/>
  <c r="AD50" i="34" s="1"/>
  <c r="Q39" i="34"/>
  <c r="Q38" i="34"/>
  <c r="U37" i="34"/>
  <c r="N15" i="21" s="1"/>
  <c r="Q37" i="34"/>
  <c r="AE35" i="34"/>
  <c r="AD47" i="34" s="1"/>
  <c r="Q34" i="34"/>
  <c r="I34" i="34"/>
  <c r="Q33" i="34"/>
  <c r="AC32" i="34"/>
  <c r="AA49" i="34" s="1"/>
  <c r="Q32" i="34"/>
  <c r="R31" i="34"/>
  <c r="Q31" i="34"/>
  <c r="R30" i="34"/>
  <c r="Q30" i="34"/>
  <c r="I30" i="34"/>
  <c r="R29" i="34"/>
  <c r="Q29" i="34"/>
  <c r="I29" i="34"/>
  <c r="I28" i="34"/>
  <c r="V27" i="34"/>
  <c r="Q27" i="34"/>
  <c r="I27" i="34"/>
  <c r="V26" i="34"/>
  <c r="Q26" i="34"/>
  <c r="I26" i="34"/>
  <c r="AD25" i="34"/>
  <c r="I25" i="34"/>
  <c r="B25" i="34"/>
  <c r="AD24" i="34"/>
  <c r="AA24" i="34"/>
  <c r="Z25" i="34" s="1"/>
  <c r="B24" i="34"/>
  <c r="AC23" i="34"/>
  <c r="AA23" i="34"/>
  <c r="Z23" i="34"/>
  <c r="V21" i="34"/>
  <c r="J15" i="34" s="1"/>
  <c r="Q21" i="34"/>
  <c r="R20" i="34"/>
  <c r="F14" i="34" s="1"/>
  <c r="Q20" i="34"/>
  <c r="V19" i="34"/>
  <c r="Q19" i="34"/>
  <c r="M19" i="34"/>
  <c r="V18" i="34"/>
  <c r="R18" i="34"/>
  <c r="Q18" i="34"/>
  <c r="D18" i="34"/>
  <c r="AH16" i="34"/>
  <c r="AD26" i="34" s="1"/>
  <c r="Q15" i="34"/>
  <c r="K15" i="34"/>
  <c r="Q14" i="34"/>
  <c r="M14" i="34"/>
  <c r="Q13" i="34"/>
  <c r="AE12" i="34"/>
  <c r="AD23" i="34" s="1"/>
  <c r="Q12" i="34"/>
  <c r="M12" i="34"/>
  <c r="K12" i="34"/>
  <c r="J12" i="34"/>
  <c r="U11" i="34"/>
  <c r="I15" i="21" s="1"/>
  <c r="R11" i="34"/>
  <c r="Q11" i="34"/>
  <c r="M11" i="34"/>
  <c r="K11" i="34"/>
  <c r="J11" i="34"/>
  <c r="L11" i="34" s="1"/>
  <c r="R10" i="34"/>
  <c r="Q10" i="34"/>
  <c r="M10" i="34"/>
  <c r="K10" i="34"/>
  <c r="J10" i="34"/>
  <c r="Q9" i="34"/>
  <c r="M9" i="34"/>
  <c r="K9" i="34"/>
  <c r="J9" i="34"/>
  <c r="AC8" i="34"/>
  <c r="AA25" i="34" s="1"/>
  <c r="Q8" i="34"/>
  <c r="M8" i="34"/>
  <c r="K8" i="34"/>
  <c r="K18" i="34" s="1"/>
  <c r="J8" i="34"/>
  <c r="Q7" i="34"/>
  <c r="M7" i="34"/>
  <c r="K7" i="34"/>
  <c r="J7" i="34"/>
  <c r="M5" i="34"/>
  <c r="L3" i="34"/>
  <c r="J3" i="34"/>
  <c r="I3" i="34"/>
  <c r="J2" i="34"/>
  <c r="F2" i="34"/>
  <c r="L1" i="34"/>
  <c r="J1" i="34"/>
  <c r="I1" i="34"/>
  <c r="L12" i="34" l="1"/>
  <c r="J14" i="34"/>
  <c r="D29" i="34"/>
  <c r="AE23" i="34"/>
  <c r="U39" i="34"/>
  <c r="N11" i="21"/>
  <c r="L9" i="34"/>
  <c r="L10" i="34"/>
  <c r="B21" i="34"/>
  <c r="AB23" i="34"/>
  <c r="F28" i="34"/>
  <c r="M16" i="34"/>
  <c r="AH23" i="34"/>
  <c r="AH24" i="34" s="1"/>
  <c r="AH25" i="34" s="1"/>
  <c r="AH26" i="34" s="1"/>
  <c r="Z50" i="34"/>
  <c r="AE47" i="34"/>
  <c r="AF47" i="34" s="1"/>
  <c r="AC48" i="34"/>
  <c r="AE48" i="34" s="1"/>
  <c r="Z26" i="34"/>
  <c r="AB25" i="34"/>
  <c r="AH47" i="34"/>
  <c r="AH48" i="34" s="1"/>
  <c r="AH49" i="34" s="1"/>
  <c r="AH50" i="34" s="1"/>
  <c r="AB48" i="34"/>
  <c r="L7" i="34"/>
  <c r="L15" i="34"/>
  <c r="Z24" i="34"/>
  <c r="AB24" i="34" s="1"/>
  <c r="D28" i="34"/>
  <c r="I35" i="34"/>
  <c r="I36" i="34"/>
  <c r="U38" i="34"/>
  <c r="T42" i="34"/>
  <c r="Z49" i="34"/>
  <c r="AB49" i="34" s="1"/>
  <c r="L8" i="34"/>
  <c r="AC16" i="34"/>
  <c r="AA26" i="34" s="1"/>
  <c r="AB26" i="34" s="1"/>
  <c r="J18" i="34"/>
  <c r="L18" i="34" s="1"/>
  <c r="AC24" i="34"/>
  <c r="AE24" i="34" s="1"/>
  <c r="AC25" i="34"/>
  <c r="AE25" i="34" s="1"/>
  <c r="AC40" i="34"/>
  <c r="AA50" i="34" s="1"/>
  <c r="T43" i="34"/>
  <c r="R53" i="34" s="1"/>
  <c r="AC49" i="34"/>
  <c r="AC50" i="34" s="1"/>
  <c r="AE50" i="34" s="1"/>
  <c r="R51" i="34"/>
  <c r="D19" i="34" s="1"/>
  <c r="K1" i="21"/>
  <c r="M11" i="21" l="1"/>
  <c r="M15" i="21"/>
  <c r="L11" i="21"/>
  <c r="L15" i="21"/>
  <c r="AB50" i="34"/>
  <c r="AF50" i="34" s="1"/>
  <c r="AF23" i="34"/>
  <c r="D30" i="34"/>
  <c r="AF48" i="34"/>
  <c r="B19" i="34"/>
  <c r="C23" i="34"/>
  <c r="AE49" i="34"/>
  <c r="AF49" i="34" s="1"/>
  <c r="C24" i="34"/>
  <c r="AF25" i="34"/>
  <c r="B30" i="34"/>
  <c r="AC26" i="34"/>
  <c r="AE26" i="34" s="1"/>
  <c r="AF26" i="34" s="1"/>
  <c r="I41" i="34"/>
  <c r="I39" i="34"/>
  <c r="I40" i="34"/>
  <c r="AF24" i="34"/>
  <c r="L14" i="34"/>
  <c r="L16" i="34" s="1"/>
  <c r="L19" i="34" s="1"/>
  <c r="F30" i="34"/>
  <c r="J51" i="23"/>
  <c r="I51" i="23"/>
  <c r="J51" i="24"/>
  <c r="I51" i="24"/>
  <c r="J51" i="33"/>
  <c r="I51" i="33"/>
  <c r="J51" i="25"/>
  <c r="I51" i="25"/>
  <c r="J51" i="26"/>
  <c r="I51" i="26"/>
  <c r="J51" i="27"/>
  <c r="I51" i="27"/>
  <c r="J51" i="28"/>
  <c r="I51" i="28"/>
  <c r="J51" i="29"/>
  <c r="I51" i="29"/>
  <c r="L52" i="32"/>
  <c r="K52" i="32"/>
  <c r="L52" i="31"/>
  <c r="K52" i="31"/>
  <c r="J51" i="19"/>
  <c r="I51" i="19"/>
  <c r="T8" i="3" l="1"/>
  <c r="K12" i="21" l="1"/>
  <c r="J12" i="21"/>
  <c r="I12" i="21"/>
  <c r="H12" i="21"/>
  <c r="G12" i="21"/>
  <c r="F12" i="21"/>
  <c r="E12" i="21"/>
  <c r="D12" i="21"/>
  <c r="C12" i="21"/>
  <c r="J7" i="33"/>
  <c r="Q53" i="33"/>
  <c r="I55" i="33"/>
  <c r="R52" i="33"/>
  <c r="I42" i="33" s="1"/>
  <c r="Q52" i="33"/>
  <c r="I54" i="33"/>
  <c r="Q51" i="33"/>
  <c r="R50" i="33"/>
  <c r="Q50" i="33"/>
  <c r="AD49" i="33"/>
  <c r="R49" i="33"/>
  <c r="Q49" i="33"/>
  <c r="AD48" i="33"/>
  <c r="AA48" i="33"/>
  <c r="R48" i="33"/>
  <c r="Q48" i="33"/>
  <c r="AC47" i="33"/>
  <c r="AA47" i="33"/>
  <c r="Z48" i="33" s="1"/>
  <c r="Z47" i="33"/>
  <c r="R47" i="33"/>
  <c r="Q47" i="33"/>
  <c r="R46" i="33"/>
  <c r="C25" i="33" s="1"/>
  <c r="Q46" i="33"/>
  <c r="AE43" i="33"/>
  <c r="AA43" i="33"/>
  <c r="Q43" i="33"/>
  <c r="Q42" i="33"/>
  <c r="AH40" i="33"/>
  <c r="AD50" i="33" s="1"/>
  <c r="Q39" i="33"/>
  <c r="Q38" i="33"/>
  <c r="U37" i="33"/>
  <c r="Q37" i="33"/>
  <c r="AE35" i="33"/>
  <c r="AD47" i="33" s="1"/>
  <c r="Q34" i="33"/>
  <c r="I34" i="33"/>
  <c r="Q33" i="33"/>
  <c r="AC32" i="33"/>
  <c r="AA49" i="33" s="1"/>
  <c r="Q32" i="33"/>
  <c r="R31" i="33"/>
  <c r="Q31" i="33"/>
  <c r="R30" i="33"/>
  <c r="Q30" i="33"/>
  <c r="I30" i="33"/>
  <c r="R29" i="33"/>
  <c r="Q29" i="33"/>
  <c r="I29" i="33"/>
  <c r="I28" i="33"/>
  <c r="V27" i="33"/>
  <c r="Q27" i="33"/>
  <c r="I27" i="33"/>
  <c r="V26" i="33"/>
  <c r="Q26" i="33"/>
  <c r="I26" i="33"/>
  <c r="AD25" i="33"/>
  <c r="I25" i="33"/>
  <c r="AD24" i="33"/>
  <c r="AA24" i="33"/>
  <c r="Z25" i="33" s="1"/>
  <c r="AC23" i="33"/>
  <c r="AA23" i="33"/>
  <c r="Z23" i="33"/>
  <c r="V21" i="33"/>
  <c r="J15" i="33" s="1"/>
  <c r="Q21" i="33"/>
  <c r="R20" i="33"/>
  <c r="F14" i="33" s="1"/>
  <c r="Q20" i="33"/>
  <c r="V19" i="33"/>
  <c r="Q19" i="33"/>
  <c r="M19" i="33"/>
  <c r="V18" i="33"/>
  <c r="M8" i="33" s="1"/>
  <c r="R18" i="33"/>
  <c r="Q18" i="33"/>
  <c r="D18" i="33"/>
  <c r="AH16" i="33"/>
  <c r="AD26" i="33" s="1"/>
  <c r="Q15" i="33"/>
  <c r="K15" i="33"/>
  <c r="Q14" i="33"/>
  <c r="M14" i="33"/>
  <c r="Q13" i="33"/>
  <c r="AE12" i="33"/>
  <c r="AD23" i="33" s="1"/>
  <c r="Q12" i="33"/>
  <c r="M12" i="33"/>
  <c r="K12" i="33"/>
  <c r="J12" i="33"/>
  <c r="U11" i="33"/>
  <c r="R11" i="33"/>
  <c r="Q11" i="33"/>
  <c r="M11" i="33"/>
  <c r="K11" i="33"/>
  <c r="J11" i="33"/>
  <c r="R10" i="33"/>
  <c r="B21" i="33" s="1"/>
  <c r="Q10" i="33"/>
  <c r="M10" i="33"/>
  <c r="K10" i="33"/>
  <c r="J10" i="33"/>
  <c r="L10" i="33" s="1"/>
  <c r="Q9" i="33"/>
  <c r="M9" i="33"/>
  <c r="K9" i="33"/>
  <c r="J9" i="33"/>
  <c r="L9" i="33" s="1"/>
  <c r="AC8" i="33"/>
  <c r="AA25" i="33" s="1"/>
  <c r="Q8" i="33"/>
  <c r="K8" i="33"/>
  <c r="K18" i="33" s="1"/>
  <c r="J8" i="33"/>
  <c r="Q7" i="33"/>
  <c r="M7" i="33"/>
  <c r="K7" i="33"/>
  <c r="M5" i="33"/>
  <c r="L3" i="33"/>
  <c r="J3" i="33"/>
  <c r="I3" i="33"/>
  <c r="J2" i="33"/>
  <c r="F2" i="33"/>
  <c r="L1" i="33"/>
  <c r="J1" i="33"/>
  <c r="I1" i="33"/>
  <c r="N12" i="21" l="1"/>
  <c r="N14" i="21"/>
  <c r="B24" i="33"/>
  <c r="I43" i="33"/>
  <c r="B23" i="33"/>
  <c r="J14" i="33"/>
  <c r="D29" i="33"/>
  <c r="I44" i="33"/>
  <c r="B25" i="33"/>
  <c r="L12" i="33"/>
  <c r="I45" i="33"/>
  <c r="F28" i="33"/>
  <c r="M16" i="33"/>
  <c r="AE23" i="33"/>
  <c r="L11" i="33"/>
  <c r="AB23" i="33"/>
  <c r="AF23" i="33" s="1"/>
  <c r="AB47" i="33"/>
  <c r="U39" i="33"/>
  <c r="Z26" i="33"/>
  <c r="AB25" i="33"/>
  <c r="AH23" i="33"/>
  <c r="AH24" i="33" s="1"/>
  <c r="AH25" i="33" s="1"/>
  <c r="AH26" i="33" s="1"/>
  <c r="Z50" i="33"/>
  <c r="AE47" i="33"/>
  <c r="AC48" i="33"/>
  <c r="AE48" i="33" s="1"/>
  <c r="AH47" i="33"/>
  <c r="AH48" i="33" s="1"/>
  <c r="AH49" i="33" s="1"/>
  <c r="AH50" i="33" s="1"/>
  <c r="AB48" i="33"/>
  <c r="L7" i="33"/>
  <c r="L15" i="33"/>
  <c r="Z24" i="33"/>
  <c r="AB24" i="33" s="1"/>
  <c r="D28" i="33"/>
  <c r="D30" i="33" s="1"/>
  <c r="I35" i="33"/>
  <c r="I36" i="33"/>
  <c r="U38" i="33"/>
  <c r="T42" i="33"/>
  <c r="Z49" i="33"/>
  <c r="AB49" i="33" s="1"/>
  <c r="L8" i="33"/>
  <c r="AC16" i="33"/>
  <c r="AA26" i="33" s="1"/>
  <c r="AB26" i="33" s="1"/>
  <c r="J18" i="33"/>
  <c r="L18" i="33" s="1"/>
  <c r="AC24" i="33"/>
  <c r="AE24" i="33" s="1"/>
  <c r="AC25" i="33"/>
  <c r="AE25" i="33" s="1"/>
  <c r="AC40" i="33"/>
  <c r="AA50" i="33" s="1"/>
  <c r="AB50" i="33" s="1"/>
  <c r="T43" i="33"/>
  <c r="R53" i="33" s="1"/>
  <c r="AC49" i="33"/>
  <c r="AC50" i="33" s="1"/>
  <c r="AE50" i="33" s="1"/>
  <c r="R51" i="33"/>
  <c r="D19" i="33" s="1"/>
  <c r="U37" i="25"/>
  <c r="L12" i="21" l="1"/>
  <c r="L14" i="21"/>
  <c r="M12" i="21"/>
  <c r="M14" i="21"/>
  <c r="AF47" i="33"/>
  <c r="AF48" i="33"/>
  <c r="B19" i="33"/>
  <c r="C23" i="33"/>
  <c r="AF50" i="33"/>
  <c r="I41" i="33"/>
  <c r="I39" i="33"/>
  <c r="I40" i="33"/>
  <c r="AE49" i="33"/>
  <c r="AF49" i="33" s="1"/>
  <c r="C24" i="33"/>
  <c r="AC26" i="33"/>
  <c r="AE26" i="33" s="1"/>
  <c r="AF26" i="33" s="1"/>
  <c r="AF25" i="33"/>
  <c r="B30" i="33"/>
  <c r="AF24" i="33"/>
  <c r="L14" i="33"/>
  <c r="L16" i="33" s="1"/>
  <c r="L19" i="33" s="1"/>
  <c r="F30" i="33"/>
  <c r="AG34" i="31"/>
  <c r="AE30" i="31"/>
  <c r="AG10" i="31"/>
  <c r="AE6" i="31"/>
  <c r="AG34" i="32"/>
  <c r="AE30" i="32"/>
  <c r="AG10" i="32"/>
  <c r="AE6" i="32"/>
  <c r="AE36" i="29"/>
  <c r="AC32" i="29"/>
  <c r="AE12" i="29"/>
  <c r="AC8" i="29"/>
  <c r="AE36" i="28"/>
  <c r="AC32" i="28"/>
  <c r="AE12" i="28"/>
  <c r="AC8" i="28"/>
  <c r="AE36" i="27"/>
  <c r="AC32" i="27"/>
  <c r="AE12" i="27"/>
  <c r="AC8" i="27"/>
  <c r="AE36" i="26"/>
  <c r="AC32" i="26"/>
  <c r="AE12" i="26"/>
  <c r="AC8" i="26"/>
  <c r="AC32" i="25"/>
  <c r="AE36" i="25"/>
  <c r="AE12" i="25"/>
  <c r="AC8" i="25"/>
  <c r="AE36" i="24"/>
  <c r="AC32" i="24"/>
  <c r="AE12" i="24"/>
  <c r="AC8" i="24"/>
  <c r="AE35" i="23"/>
  <c r="AC32" i="23"/>
  <c r="AE12" i="23"/>
  <c r="AC8" i="23"/>
  <c r="AE36" i="19"/>
  <c r="AC32" i="19"/>
  <c r="AC8" i="19"/>
  <c r="AE12" i="19"/>
  <c r="K25" i="21"/>
  <c r="J25" i="21"/>
  <c r="I25" i="21"/>
  <c r="H25" i="21"/>
  <c r="G25" i="21"/>
  <c r="F25" i="21"/>
  <c r="S58" i="32" l="1"/>
  <c r="T57" i="32"/>
  <c r="K49" i="32" s="1"/>
  <c r="S57" i="32"/>
  <c r="S56" i="32"/>
  <c r="T55" i="32"/>
  <c r="S55" i="32"/>
  <c r="T54" i="32"/>
  <c r="B26" i="32" s="1"/>
  <c r="S54" i="32"/>
  <c r="K56" i="32"/>
  <c r="T53" i="32"/>
  <c r="S53" i="32"/>
  <c r="K55" i="32"/>
  <c r="T52" i="32"/>
  <c r="S52" i="32"/>
  <c r="T51" i="32"/>
  <c r="S51" i="32"/>
  <c r="S48" i="32"/>
  <c r="K48" i="32"/>
  <c r="AE47" i="32"/>
  <c r="AE48" i="32" s="1"/>
  <c r="AG48" i="32" s="1"/>
  <c r="AC47" i="32"/>
  <c r="AB48" i="32" s="1"/>
  <c r="V47" i="32"/>
  <c r="K44" i="32" s="1"/>
  <c r="S47" i="32"/>
  <c r="K47" i="32"/>
  <c r="AF46" i="32"/>
  <c r="AC46" i="32"/>
  <c r="AB47" i="32" s="1"/>
  <c r="K46" i="32"/>
  <c r="AJ45" i="32"/>
  <c r="AJ46" i="32" s="1"/>
  <c r="AJ47" i="32" s="1"/>
  <c r="AJ48" i="32" s="1"/>
  <c r="AF45" i="32"/>
  <c r="AE46" i="32" s="1"/>
  <c r="AG46" i="32" s="1"/>
  <c r="AE45" i="32"/>
  <c r="AC45" i="32"/>
  <c r="AB46" i="32" s="1"/>
  <c r="AB45" i="32"/>
  <c r="S44" i="32"/>
  <c r="S43" i="32"/>
  <c r="K43" i="32"/>
  <c r="W42" i="32"/>
  <c r="O17" i="32" s="1"/>
  <c r="S42" i="32"/>
  <c r="AG41" i="32"/>
  <c r="AC41" i="32"/>
  <c r="K39" i="32"/>
  <c r="AJ38" i="32"/>
  <c r="AE38" i="32"/>
  <c r="AC48" i="32" s="1"/>
  <c r="T38" i="32"/>
  <c r="S38" i="32"/>
  <c r="T37" i="32"/>
  <c r="S37" i="32"/>
  <c r="T36" i="32"/>
  <c r="S36" i="32"/>
  <c r="W34" i="32"/>
  <c r="B44" i="32" s="1"/>
  <c r="S34" i="32"/>
  <c r="K34" i="32"/>
  <c r="W33" i="32"/>
  <c r="B43" i="32" s="1"/>
  <c r="S33" i="32"/>
  <c r="K33" i="32"/>
  <c r="W32" i="32"/>
  <c r="B42" i="32" s="1"/>
  <c r="S32" i="32"/>
  <c r="K32" i="32"/>
  <c r="W31" i="32"/>
  <c r="S31" i="32"/>
  <c r="K31" i="32"/>
  <c r="K30" i="32"/>
  <c r="S29" i="32"/>
  <c r="K29" i="32"/>
  <c r="S28" i="32"/>
  <c r="K28" i="32"/>
  <c r="S27" i="32"/>
  <c r="K27" i="32"/>
  <c r="C27" i="32"/>
  <c r="S26" i="32"/>
  <c r="K26" i="32"/>
  <c r="K25" i="32"/>
  <c r="B25" i="32"/>
  <c r="AB24" i="32"/>
  <c r="AD24" i="32" s="1"/>
  <c r="AG23" i="32"/>
  <c r="AE23" i="32"/>
  <c r="AE24" i="32" s="1"/>
  <c r="AG24" i="32" s="1"/>
  <c r="AB23" i="32"/>
  <c r="AD23" i="32" s="1"/>
  <c r="AH23" i="32" s="1"/>
  <c r="S23" i="32"/>
  <c r="AG22" i="32"/>
  <c r="AE22" i="32"/>
  <c r="AB22" i="32"/>
  <c r="AD22" i="32" s="1"/>
  <c r="AH22" i="32" s="1"/>
  <c r="S22" i="32"/>
  <c r="AJ21" i="32"/>
  <c r="AJ22" i="32" s="1"/>
  <c r="AJ23" i="32" s="1"/>
  <c r="AJ24" i="32" s="1"/>
  <c r="AG21" i="32"/>
  <c r="AD21" i="32"/>
  <c r="AH21" i="32" s="1"/>
  <c r="X21" i="32"/>
  <c r="S21" i="32"/>
  <c r="D21" i="32"/>
  <c r="T56" i="32" s="1"/>
  <c r="D22" i="32" s="1"/>
  <c r="T20" i="32"/>
  <c r="G17" i="32" s="1"/>
  <c r="S20" i="32"/>
  <c r="O20" i="32"/>
  <c r="X19" i="32"/>
  <c r="S19" i="32"/>
  <c r="M19" i="32"/>
  <c r="X18" i="32"/>
  <c r="O8" i="32" s="1"/>
  <c r="T18" i="32"/>
  <c r="C26" i="32" s="1"/>
  <c r="S18" i="32"/>
  <c r="M16" i="32"/>
  <c r="L16" i="32"/>
  <c r="S15" i="32"/>
  <c r="O15" i="32"/>
  <c r="AJ14" i="32"/>
  <c r="AE14" i="32"/>
  <c r="S14" i="32"/>
  <c r="O14" i="32"/>
  <c r="M14" i="32"/>
  <c r="L14" i="32"/>
  <c r="N14" i="32" s="1"/>
  <c r="S13" i="32"/>
  <c r="O13" i="32"/>
  <c r="M13" i="32"/>
  <c r="L13" i="32"/>
  <c r="N13" i="32" s="1"/>
  <c r="H13" i="32"/>
  <c r="E13" i="32"/>
  <c r="S12" i="32"/>
  <c r="M12" i="32"/>
  <c r="W11" i="32"/>
  <c r="T11" i="32"/>
  <c r="S11" i="32"/>
  <c r="M11" i="32"/>
  <c r="H11" i="32"/>
  <c r="E11" i="32"/>
  <c r="T10" i="32"/>
  <c r="S10" i="32"/>
  <c r="M10" i="32"/>
  <c r="T9" i="32"/>
  <c r="S9" i="32"/>
  <c r="O9" i="32"/>
  <c r="M9" i="32"/>
  <c r="H9" i="32"/>
  <c r="O10" i="32" s="1"/>
  <c r="E9" i="32"/>
  <c r="S8" i="32"/>
  <c r="M8" i="32"/>
  <c r="L8" i="32"/>
  <c r="S7" i="32"/>
  <c r="O7" i="32"/>
  <c r="M7" i="32"/>
  <c r="L7" i="32"/>
  <c r="H7" i="32"/>
  <c r="L9" i="32" s="1"/>
  <c r="O5" i="32"/>
  <c r="N3" i="32"/>
  <c r="L3" i="32"/>
  <c r="K3" i="32"/>
  <c r="L2" i="32"/>
  <c r="G2" i="32"/>
  <c r="N1" i="32"/>
  <c r="L1" i="32"/>
  <c r="K1" i="32"/>
  <c r="N9" i="32" l="1"/>
  <c r="L19" i="32"/>
  <c r="N19" i="32" s="1"/>
  <c r="N7" i="32"/>
  <c r="K45" i="32"/>
  <c r="B27" i="32"/>
  <c r="O12" i="32"/>
  <c r="B23" i="32"/>
  <c r="L12" i="32"/>
  <c r="N12" i="32" s="1"/>
  <c r="L11" i="32"/>
  <c r="N11" i="32" s="1"/>
  <c r="L10" i="32"/>
  <c r="N10" i="32" s="1"/>
  <c r="K37" i="32"/>
  <c r="E5" i="32"/>
  <c r="O11" i="32"/>
  <c r="G30" i="32"/>
  <c r="W44" i="32"/>
  <c r="L25" i="21" s="1"/>
  <c r="N25" i="21"/>
  <c r="AG45" i="32"/>
  <c r="AD48" i="32"/>
  <c r="AH48" i="32" s="1"/>
  <c r="AH24" i="32"/>
  <c r="N8" i="32"/>
  <c r="N16" i="32"/>
  <c r="D30" i="32"/>
  <c r="K36" i="32"/>
  <c r="B41" i="32"/>
  <c r="W43" i="32"/>
  <c r="M25" i="21" s="1"/>
  <c r="AD45" i="32"/>
  <c r="AH45" i="32" s="1"/>
  <c r="AD46" i="32"/>
  <c r="AH46" i="32" s="1"/>
  <c r="AD47" i="32"/>
  <c r="AH47" i="32" s="1"/>
  <c r="AG47" i="32"/>
  <c r="V48" i="32"/>
  <c r="T58" i="32" s="1"/>
  <c r="K35" i="32"/>
  <c r="K40" i="32"/>
  <c r="K41" i="32"/>
  <c r="D31" i="32" l="1"/>
  <c r="D32" i="32" s="1"/>
  <c r="L15" i="32"/>
  <c r="N15" i="32"/>
  <c r="N17" i="32" s="1"/>
  <c r="N20" i="32" s="1"/>
  <c r="C25" i="32"/>
  <c r="B22" i="32"/>
  <c r="H13" i="31"/>
  <c r="E13" i="31"/>
  <c r="H11" i="31"/>
  <c r="E11" i="31"/>
  <c r="E9" i="31"/>
  <c r="H9" i="31"/>
  <c r="G32" i="32" l="1"/>
  <c r="B32" i="32"/>
  <c r="W34" i="31"/>
  <c r="W33" i="31"/>
  <c r="O11" i="31" s="1"/>
  <c r="W32" i="31"/>
  <c r="O10" i="31" s="1"/>
  <c r="W31" i="31"/>
  <c r="H7" i="31"/>
  <c r="B44" i="31" l="1"/>
  <c r="O12" i="31"/>
  <c r="O9" i="31"/>
  <c r="L9" i="31"/>
  <c r="K37" i="31"/>
  <c r="B42" i="31"/>
  <c r="K36" i="31"/>
  <c r="B43" i="31"/>
  <c r="B41" i="31"/>
  <c r="K35" i="31"/>
  <c r="E5" i="31"/>
  <c r="L12" i="31"/>
  <c r="L11" i="31"/>
  <c r="L10" i="31"/>
  <c r="S34" i="31" l="1"/>
  <c r="S33" i="31"/>
  <c r="S32" i="31"/>
  <c r="S31" i="31"/>
  <c r="S29" i="31"/>
  <c r="S28" i="31"/>
  <c r="S27" i="31"/>
  <c r="S26" i="31"/>
  <c r="S22" i="31"/>
  <c r="S23" i="31"/>
  <c r="S55" i="31"/>
  <c r="S56" i="31"/>
  <c r="S57" i="31"/>
  <c r="S58" i="31"/>
  <c r="T11" i="31" l="1"/>
  <c r="R11" i="24"/>
  <c r="R11" i="23"/>
  <c r="R11" i="19"/>
  <c r="D18" i="28"/>
  <c r="V47" i="31" l="1"/>
  <c r="K45" i="31" l="1"/>
  <c r="K44" i="31"/>
  <c r="K43" i="31"/>
  <c r="W42" i="31"/>
  <c r="O17" i="31" s="1"/>
  <c r="X21" i="31" l="1"/>
  <c r="V21" i="29"/>
  <c r="O15" i="31"/>
  <c r="M14" i="29"/>
  <c r="M14" i="27"/>
  <c r="M14" i="24"/>
  <c r="M14" i="23"/>
  <c r="M14" i="19"/>
  <c r="M14" i="28"/>
  <c r="M14" i="26"/>
  <c r="M14" i="25"/>
  <c r="V21" i="28"/>
  <c r="V21" i="27"/>
  <c r="V21" i="26"/>
  <c r="V21" i="25"/>
  <c r="V21" i="24"/>
  <c r="V21" i="23" l="1"/>
  <c r="V21" i="19"/>
  <c r="O5" i="31"/>
  <c r="M5" i="29"/>
  <c r="M5" i="28"/>
  <c r="M5" i="27"/>
  <c r="M5" i="26"/>
  <c r="M5" i="25"/>
  <c r="M5" i="24"/>
  <c r="M5" i="23"/>
  <c r="M5" i="19"/>
  <c r="Q19" i="3" l="1"/>
  <c r="Q14" i="3"/>
  <c r="S14" i="3" s="1"/>
  <c r="R7" i="3"/>
  <c r="O20" i="31" l="1"/>
  <c r="M19" i="29"/>
  <c r="M19" i="28"/>
  <c r="M19" i="27"/>
  <c r="M19" i="26"/>
  <c r="M19" i="25"/>
  <c r="M19" i="24"/>
  <c r="M19" i="19"/>
  <c r="M19" i="23"/>
  <c r="R20" i="19"/>
  <c r="F14" i="19" s="1"/>
  <c r="Q20" i="19"/>
  <c r="R20" i="23"/>
  <c r="F14" i="23" s="1"/>
  <c r="Q20" i="23"/>
  <c r="R20" i="24"/>
  <c r="F14" i="24" s="1"/>
  <c r="Q20" i="24"/>
  <c r="R20" i="25"/>
  <c r="F14" i="25" s="1"/>
  <c r="Q20" i="25"/>
  <c r="R20" i="26"/>
  <c r="F14" i="26" s="1"/>
  <c r="Q20" i="26"/>
  <c r="R20" i="27"/>
  <c r="F14" i="27" s="1"/>
  <c r="Q20" i="27"/>
  <c r="R20" i="28"/>
  <c r="F14" i="28" s="1"/>
  <c r="Q20" i="28"/>
  <c r="R20" i="29"/>
  <c r="F14" i="29" s="1"/>
  <c r="Q20" i="29"/>
  <c r="T20" i="31"/>
  <c r="G17" i="31" s="1"/>
  <c r="S20" i="31"/>
  <c r="F21" i="21"/>
  <c r="F17" i="21"/>
  <c r="F10" i="21"/>
  <c r="K26" i="21"/>
  <c r="K21" i="21"/>
  <c r="K17" i="21"/>
  <c r="K10" i="21"/>
  <c r="J26" i="21"/>
  <c r="J17" i="21"/>
  <c r="J10" i="21"/>
  <c r="I26" i="21"/>
  <c r="I21" i="21"/>
  <c r="I17" i="21"/>
  <c r="I10" i="21"/>
  <c r="H26" i="21"/>
  <c r="H21" i="21"/>
  <c r="H17" i="21"/>
  <c r="H10" i="21"/>
  <c r="G26" i="21"/>
  <c r="G21" i="21"/>
  <c r="G17" i="21"/>
  <c r="G10" i="21"/>
  <c r="F26" i="21"/>
  <c r="D26" i="21"/>
  <c r="E26" i="21"/>
  <c r="D21" i="21"/>
  <c r="E21" i="21"/>
  <c r="D17" i="21"/>
  <c r="E17" i="21"/>
  <c r="D10" i="21"/>
  <c r="E10" i="21"/>
  <c r="C26" i="21"/>
  <c r="C21" i="21"/>
  <c r="C17" i="21"/>
  <c r="C10" i="21"/>
  <c r="N1" i="31" l="1"/>
  <c r="L1" i="31"/>
  <c r="K1" i="31"/>
  <c r="O14" i="31" l="1"/>
  <c r="O13" i="31"/>
  <c r="K56" i="31" l="1"/>
  <c r="T57" i="31"/>
  <c r="K55" i="31"/>
  <c r="T55" i="31"/>
  <c r="B27" i="31" s="1"/>
  <c r="T54" i="31"/>
  <c r="S54" i="31"/>
  <c r="T53" i="31"/>
  <c r="S53" i="31"/>
  <c r="T52" i="31"/>
  <c r="S52" i="31"/>
  <c r="AC47" i="31"/>
  <c r="AB48" i="31" s="1"/>
  <c r="T51" i="31"/>
  <c r="C27" i="31" s="1"/>
  <c r="S51" i="31"/>
  <c r="AF46" i="31"/>
  <c r="AE47" i="31" s="1"/>
  <c r="AC46" i="31"/>
  <c r="AJ45" i="31"/>
  <c r="AJ46" i="31" s="1"/>
  <c r="AJ47" i="31" s="1"/>
  <c r="AJ48" i="31" s="1"/>
  <c r="AF45" i="31"/>
  <c r="AE45" i="31"/>
  <c r="AC45" i="31"/>
  <c r="AB46" i="31" s="1"/>
  <c r="AB45" i="31"/>
  <c r="S48" i="31"/>
  <c r="S47" i="31"/>
  <c r="S44" i="31"/>
  <c r="S43" i="31"/>
  <c r="AJ38" i="31"/>
  <c r="AE38" i="31"/>
  <c r="AC48" i="31" s="1"/>
  <c r="S42" i="31"/>
  <c r="K39" i="31"/>
  <c r="K34" i="31"/>
  <c r="K33" i="31"/>
  <c r="T38" i="31"/>
  <c r="S38" i="31"/>
  <c r="K32" i="31"/>
  <c r="T37" i="31"/>
  <c r="S37" i="31"/>
  <c r="K31" i="31"/>
  <c r="T36" i="31"/>
  <c r="S36" i="31"/>
  <c r="K30" i="31"/>
  <c r="K29" i="31"/>
  <c r="K28" i="31"/>
  <c r="K27" i="31"/>
  <c r="K26" i="31"/>
  <c r="K25" i="31"/>
  <c r="AB24" i="31"/>
  <c r="AD24" i="31" s="1"/>
  <c r="AE23" i="31"/>
  <c r="AG23" i="31" s="1"/>
  <c r="AB23" i="31"/>
  <c r="AD23" i="31" s="1"/>
  <c r="AE22" i="31"/>
  <c r="AG22" i="31" s="1"/>
  <c r="AB22" i="31"/>
  <c r="AD22" i="31" s="1"/>
  <c r="AJ21" i="31"/>
  <c r="AJ22" i="31" s="1"/>
  <c r="AJ23" i="31" s="1"/>
  <c r="AJ24" i="31" s="1"/>
  <c r="AG21" i="31"/>
  <c r="AD21" i="31"/>
  <c r="D21" i="31"/>
  <c r="S21" i="31"/>
  <c r="X19" i="31"/>
  <c r="S19" i="31"/>
  <c r="M19" i="31"/>
  <c r="X18" i="31"/>
  <c r="O8" i="31" s="1"/>
  <c r="T18" i="31"/>
  <c r="S18" i="31"/>
  <c r="M16" i="31"/>
  <c r="L16" i="31"/>
  <c r="S15" i="31"/>
  <c r="AJ14" i="31"/>
  <c r="AE14" i="31"/>
  <c r="S14" i="31"/>
  <c r="M14" i="31"/>
  <c r="L14" i="31"/>
  <c r="S13" i="31"/>
  <c r="M13" i="31"/>
  <c r="L13" i="31"/>
  <c r="S12" i="31"/>
  <c r="M12" i="31"/>
  <c r="W11" i="31"/>
  <c r="S11" i="31"/>
  <c r="M11" i="31"/>
  <c r="S10" i="31"/>
  <c r="M10" i="31"/>
  <c r="T9" i="31"/>
  <c r="S9" i="31"/>
  <c r="M9" i="31"/>
  <c r="S8" i="31"/>
  <c r="M8" i="31"/>
  <c r="L8" i="31"/>
  <c r="S7" i="31"/>
  <c r="O7" i="31"/>
  <c r="M7" i="31"/>
  <c r="L7" i="31"/>
  <c r="N3" i="31"/>
  <c r="L3" i="31"/>
  <c r="K3" i="31"/>
  <c r="L2" i="31"/>
  <c r="G2" i="31"/>
  <c r="B25" i="31" l="1"/>
  <c r="B26" i="31"/>
  <c r="K47" i="31"/>
  <c r="K46" i="31"/>
  <c r="T56" i="31"/>
  <c r="D22" i="31" s="1"/>
  <c r="V48" i="31"/>
  <c r="T58" i="31" s="1"/>
  <c r="B22" i="31" s="1"/>
  <c r="AD45" i="31"/>
  <c r="AH21" i="31"/>
  <c r="AD48" i="31"/>
  <c r="N12" i="31"/>
  <c r="N13" i="31"/>
  <c r="N14" i="31"/>
  <c r="N16" i="31"/>
  <c r="AG45" i="31"/>
  <c r="L19" i="31"/>
  <c r="N19" i="31" s="1"/>
  <c r="N11" i="31"/>
  <c r="N10" i="31"/>
  <c r="N9" i="31"/>
  <c r="L15" i="31"/>
  <c r="D31" i="31"/>
  <c r="AD46" i="31"/>
  <c r="AH22" i="31"/>
  <c r="AH23" i="31"/>
  <c r="AE48" i="31"/>
  <c r="AG48" i="31" s="1"/>
  <c r="AG47" i="31"/>
  <c r="N8" i="31"/>
  <c r="AE24" i="31"/>
  <c r="AG24" i="31" s="1"/>
  <c r="AH24" i="31" s="1"/>
  <c r="K40" i="31"/>
  <c r="K41" i="31"/>
  <c r="AE46" i="31"/>
  <c r="AG46" i="31" s="1"/>
  <c r="AB47" i="31"/>
  <c r="AD47" i="31" s="1"/>
  <c r="AH47" i="31" s="1"/>
  <c r="N7" i="31"/>
  <c r="N26" i="21"/>
  <c r="I55" i="29"/>
  <c r="Q53" i="29"/>
  <c r="I54" i="29"/>
  <c r="R52" i="29"/>
  <c r="Q52" i="29"/>
  <c r="AD50" i="29"/>
  <c r="AA50" i="29"/>
  <c r="Q51" i="29"/>
  <c r="AD49" i="29"/>
  <c r="AA49" i="29"/>
  <c r="Z50" i="29" s="1"/>
  <c r="R50" i="29"/>
  <c r="Q50" i="29"/>
  <c r="AD48" i="29"/>
  <c r="AA48" i="29"/>
  <c r="R49" i="29"/>
  <c r="Q49" i="29"/>
  <c r="AH47" i="29"/>
  <c r="AH48" i="29" s="1"/>
  <c r="AH49" i="29" s="1"/>
  <c r="AH50" i="29" s="1"/>
  <c r="AD47" i="29"/>
  <c r="AC47" i="29"/>
  <c r="AA47" i="29"/>
  <c r="Z48" i="29" s="1"/>
  <c r="Z47" i="29"/>
  <c r="AB47" i="29" s="1"/>
  <c r="R48" i="29"/>
  <c r="Q48" i="29"/>
  <c r="R47" i="29"/>
  <c r="Q47" i="29"/>
  <c r="R46" i="29"/>
  <c r="C25" i="29" s="1"/>
  <c r="Q46" i="29"/>
  <c r="I43" i="29"/>
  <c r="Q43" i="29"/>
  <c r="I42" i="29"/>
  <c r="Q42" i="29"/>
  <c r="AH40" i="29"/>
  <c r="AC40" i="29"/>
  <c r="Q39" i="29"/>
  <c r="Q38" i="29"/>
  <c r="U37" i="29"/>
  <c r="Q37" i="29"/>
  <c r="I34" i="29"/>
  <c r="R34" i="29"/>
  <c r="Q34" i="29"/>
  <c r="R33" i="29"/>
  <c r="Q33" i="29"/>
  <c r="T32" i="29"/>
  <c r="R32" i="29"/>
  <c r="Q32" i="29"/>
  <c r="T31" i="29"/>
  <c r="R31" i="29"/>
  <c r="Q31" i="29"/>
  <c r="I30" i="29"/>
  <c r="T30" i="29"/>
  <c r="R30" i="29"/>
  <c r="Q30" i="29"/>
  <c r="I29" i="29"/>
  <c r="T29" i="29"/>
  <c r="R29" i="29"/>
  <c r="Q29" i="29"/>
  <c r="I28" i="29"/>
  <c r="I27" i="29"/>
  <c r="AD26" i="29"/>
  <c r="AC26" i="29" s="1"/>
  <c r="AE26" i="29" s="1"/>
  <c r="AA26" i="29"/>
  <c r="V27" i="29"/>
  <c r="Q27" i="29"/>
  <c r="I26" i="29"/>
  <c r="AD25" i="29"/>
  <c r="AC25" i="29"/>
  <c r="AE25" i="29" s="1"/>
  <c r="AA25" i="29"/>
  <c r="V26" i="29"/>
  <c r="Q26" i="29"/>
  <c r="I25" i="29"/>
  <c r="AD24" i="29"/>
  <c r="AA24" i="29"/>
  <c r="AH23" i="29"/>
  <c r="AH24" i="29" s="1"/>
  <c r="AH25" i="29" s="1"/>
  <c r="AH26" i="29" s="1"/>
  <c r="AD23" i="29"/>
  <c r="AE23" i="29" s="1"/>
  <c r="AC23" i="29"/>
  <c r="AA23" i="29"/>
  <c r="Z24" i="29" s="1"/>
  <c r="Z23" i="29"/>
  <c r="AB23" i="29" s="1"/>
  <c r="J15" i="29"/>
  <c r="Q21" i="29"/>
  <c r="V19" i="29"/>
  <c r="Q19" i="29"/>
  <c r="V18" i="29"/>
  <c r="M8" i="29" s="1"/>
  <c r="R18" i="29"/>
  <c r="Q18" i="29"/>
  <c r="D18" i="29"/>
  <c r="T43" i="29" s="1"/>
  <c r="AH16" i="29"/>
  <c r="AC16" i="29"/>
  <c r="Q15" i="29"/>
  <c r="K15" i="29"/>
  <c r="Q14" i="29"/>
  <c r="Q13" i="29"/>
  <c r="M13" i="29"/>
  <c r="K13" i="29"/>
  <c r="J13" i="29"/>
  <c r="L13" i="29" s="1"/>
  <c r="Q12" i="29"/>
  <c r="M12" i="29"/>
  <c r="K12" i="29"/>
  <c r="J12" i="29"/>
  <c r="U11" i="29"/>
  <c r="Q11" i="29"/>
  <c r="M11" i="29"/>
  <c r="K11" i="29"/>
  <c r="J11" i="29"/>
  <c r="R10" i="29"/>
  <c r="Q10" i="29"/>
  <c r="M10" i="29"/>
  <c r="K10" i="29"/>
  <c r="J10" i="29"/>
  <c r="L10" i="29" s="1"/>
  <c r="Q9" i="29"/>
  <c r="M9" i="29"/>
  <c r="K9" i="29"/>
  <c r="J9" i="29"/>
  <c r="Q8" i="29"/>
  <c r="K8" i="29"/>
  <c r="K18" i="29" s="1"/>
  <c r="J8" i="29"/>
  <c r="Q7" i="29"/>
  <c r="M7" i="29"/>
  <c r="K7" i="29"/>
  <c r="J7" i="29"/>
  <c r="L3" i="29"/>
  <c r="J3" i="29"/>
  <c r="I3" i="29"/>
  <c r="J2" i="29"/>
  <c r="F2" i="29"/>
  <c r="L1" i="29"/>
  <c r="J1" i="29"/>
  <c r="I1" i="29"/>
  <c r="AA49" i="26"/>
  <c r="I55" i="28"/>
  <c r="Q53" i="28"/>
  <c r="I54" i="28"/>
  <c r="R52" i="28"/>
  <c r="I43" i="28" s="1"/>
  <c r="Q52" i="28"/>
  <c r="AD50" i="28"/>
  <c r="AH47" i="28" s="1"/>
  <c r="AH48" i="28" s="1"/>
  <c r="AH49" i="28" s="1"/>
  <c r="AH50" i="28" s="1"/>
  <c r="AA50" i="28"/>
  <c r="Q51" i="28"/>
  <c r="AD49" i="28"/>
  <c r="R50" i="28"/>
  <c r="Q50" i="28"/>
  <c r="AD48" i="28"/>
  <c r="AA48" i="28"/>
  <c r="Z49" i="28" s="1"/>
  <c r="R49" i="28"/>
  <c r="Q49" i="28"/>
  <c r="AD47" i="28"/>
  <c r="AC47" i="28"/>
  <c r="AA47" i="28"/>
  <c r="Z48" i="28" s="1"/>
  <c r="Z47" i="28"/>
  <c r="R48" i="28"/>
  <c r="Q48" i="28"/>
  <c r="R47" i="28"/>
  <c r="Q47" i="28"/>
  <c r="R46" i="28"/>
  <c r="C25" i="28" s="1"/>
  <c r="Q46" i="28"/>
  <c r="Q43" i="28"/>
  <c r="Q42" i="28"/>
  <c r="AH40" i="28"/>
  <c r="AC40" i="28"/>
  <c r="Q39" i="28"/>
  <c r="Q38" i="28"/>
  <c r="U37" i="28"/>
  <c r="N21" i="21" s="1"/>
  <c r="Q37" i="28"/>
  <c r="I34" i="28"/>
  <c r="R34" i="28"/>
  <c r="Q34" i="28"/>
  <c r="R33" i="28"/>
  <c r="Q33" i="28"/>
  <c r="T32" i="28"/>
  <c r="R32" i="28"/>
  <c r="Q32" i="28"/>
  <c r="T31" i="28"/>
  <c r="R31" i="28"/>
  <c r="Q31" i="28"/>
  <c r="I30" i="28"/>
  <c r="T30" i="28"/>
  <c r="R30" i="28"/>
  <c r="Q30" i="28"/>
  <c r="I29" i="28"/>
  <c r="T29" i="28"/>
  <c r="R29" i="28"/>
  <c r="Q29" i="28"/>
  <c r="I28" i="28"/>
  <c r="I27" i="28"/>
  <c r="AD26" i="28"/>
  <c r="AA26" i="28"/>
  <c r="V27" i="28"/>
  <c r="Q27" i="28"/>
  <c r="I26" i="28"/>
  <c r="AD25" i="28"/>
  <c r="AC26" i="28" s="1"/>
  <c r="AE26" i="28" s="1"/>
  <c r="AA25" i="28"/>
  <c r="Z26" i="28" s="1"/>
  <c r="V26" i="28"/>
  <c r="Q26" i="28"/>
  <c r="I25" i="28"/>
  <c r="AD24" i="28"/>
  <c r="AA24" i="28"/>
  <c r="Z25" i="28" s="1"/>
  <c r="AH23" i="28"/>
  <c r="AH24" i="28" s="1"/>
  <c r="AH25" i="28" s="1"/>
  <c r="AH26" i="28" s="1"/>
  <c r="AD23" i="28"/>
  <c r="AC23" i="28"/>
  <c r="AA23" i="28"/>
  <c r="Z24" i="28" s="1"/>
  <c r="Z23" i="28"/>
  <c r="AB23" i="28" s="1"/>
  <c r="J15" i="28"/>
  <c r="Q21" i="28"/>
  <c r="V19" i="28"/>
  <c r="Q19" i="28"/>
  <c r="V18" i="28"/>
  <c r="M8" i="28" s="1"/>
  <c r="R18" i="28"/>
  <c r="Q18" i="28"/>
  <c r="T42" i="28"/>
  <c r="AH16" i="28"/>
  <c r="AC16" i="28"/>
  <c r="Q15" i="28"/>
  <c r="K15" i="28"/>
  <c r="Q14" i="28"/>
  <c r="Q13" i="28"/>
  <c r="M13" i="28"/>
  <c r="K13" i="28"/>
  <c r="J13" i="28"/>
  <c r="Q12" i="28"/>
  <c r="M12" i="28"/>
  <c r="K12" i="28"/>
  <c r="J12" i="28"/>
  <c r="U11" i="28"/>
  <c r="Q11" i="28"/>
  <c r="M11" i="28"/>
  <c r="K11" i="28"/>
  <c r="R10" i="28"/>
  <c r="Q10" i="28"/>
  <c r="M10" i="28"/>
  <c r="K10" i="28"/>
  <c r="J10" i="28"/>
  <c r="Q9" i="28"/>
  <c r="M9" i="28"/>
  <c r="K9" i="28"/>
  <c r="J9" i="28"/>
  <c r="Q8" i="28"/>
  <c r="K8" i="28"/>
  <c r="K18" i="28" s="1"/>
  <c r="J8" i="28"/>
  <c r="Q7" i="28"/>
  <c r="M7" i="28"/>
  <c r="K7" i="28"/>
  <c r="J7" i="28"/>
  <c r="L3" i="28"/>
  <c r="J3" i="28"/>
  <c r="I3" i="28"/>
  <c r="J2" i="28"/>
  <c r="F2" i="28"/>
  <c r="L1" i="28"/>
  <c r="J1" i="28"/>
  <c r="I1" i="28"/>
  <c r="AD49" i="27"/>
  <c r="AD48" i="27"/>
  <c r="AD47" i="27"/>
  <c r="AC47" i="27"/>
  <c r="AA49" i="27"/>
  <c r="AA48" i="27"/>
  <c r="AA47" i="27"/>
  <c r="Z47" i="27"/>
  <c r="AD25" i="27"/>
  <c r="AD24" i="27"/>
  <c r="AD23" i="27"/>
  <c r="AC23" i="27"/>
  <c r="AA25" i="27"/>
  <c r="AA24" i="27"/>
  <c r="AA23" i="27"/>
  <c r="Z23" i="27"/>
  <c r="F28" i="28" l="1"/>
  <c r="M16" i="28"/>
  <c r="B23" i="29"/>
  <c r="AB48" i="28"/>
  <c r="AE47" i="29"/>
  <c r="AC24" i="28"/>
  <c r="AE24" i="28" s="1"/>
  <c r="AC49" i="28"/>
  <c r="AE49" i="28" s="1"/>
  <c r="B25" i="29"/>
  <c r="M16" i="29"/>
  <c r="F28" i="29"/>
  <c r="AF23" i="29"/>
  <c r="C26" i="31"/>
  <c r="K48" i="31"/>
  <c r="J14" i="28"/>
  <c r="D29" i="28"/>
  <c r="B24" i="29"/>
  <c r="AH48" i="31"/>
  <c r="AH45" i="31"/>
  <c r="J14" i="29"/>
  <c r="D29" i="29"/>
  <c r="L11" i="29"/>
  <c r="L9" i="28"/>
  <c r="L10" i="28"/>
  <c r="L12" i="28"/>
  <c r="L13" i="28"/>
  <c r="N15" i="31"/>
  <c r="N17" i="31" s="1"/>
  <c r="N20" i="31" s="1"/>
  <c r="B23" i="28"/>
  <c r="B24" i="28"/>
  <c r="B25" i="28"/>
  <c r="I42" i="28"/>
  <c r="W44" i="31"/>
  <c r="L26" i="21" s="1"/>
  <c r="W43" i="31"/>
  <c r="M26" i="21" s="1"/>
  <c r="D30" i="31"/>
  <c r="G30" i="31"/>
  <c r="AH46" i="31"/>
  <c r="L15" i="29"/>
  <c r="T42" i="29"/>
  <c r="I35" i="29"/>
  <c r="J18" i="29"/>
  <c r="L18" i="29" s="1"/>
  <c r="R51" i="29"/>
  <c r="C24" i="29" s="1"/>
  <c r="I44" i="29"/>
  <c r="I36" i="29"/>
  <c r="Z25" i="29"/>
  <c r="AB24" i="29"/>
  <c r="Z26" i="29"/>
  <c r="AB25" i="29"/>
  <c r="AF25" i="29" s="1"/>
  <c r="D28" i="29"/>
  <c r="AB48" i="29"/>
  <c r="L7" i="29"/>
  <c r="L9" i="29"/>
  <c r="L12" i="29"/>
  <c r="AC24" i="29"/>
  <c r="AE24" i="29" s="1"/>
  <c r="AB26" i="29"/>
  <c r="AF26" i="29" s="1"/>
  <c r="AF47" i="29"/>
  <c r="AB50" i="29"/>
  <c r="U38" i="29"/>
  <c r="U39" i="29"/>
  <c r="AC48" i="29"/>
  <c r="AE48" i="29" s="1"/>
  <c r="Z49" i="29"/>
  <c r="AB49" i="29" s="1"/>
  <c r="AC50" i="29"/>
  <c r="AE50" i="29" s="1"/>
  <c r="L8" i="29"/>
  <c r="AC49" i="29"/>
  <c r="AE49" i="29" s="1"/>
  <c r="L11" i="28"/>
  <c r="AC25" i="28"/>
  <c r="AE25" i="28" s="1"/>
  <c r="AE47" i="28"/>
  <c r="U39" i="28"/>
  <c r="L21" i="21" s="1"/>
  <c r="AB26" i="28"/>
  <c r="AF26" i="28" s="1"/>
  <c r="I41" i="28"/>
  <c r="I39" i="28"/>
  <c r="I40" i="28"/>
  <c r="L8" i="28"/>
  <c r="J18" i="28"/>
  <c r="L18" i="28" s="1"/>
  <c r="AE23" i="28"/>
  <c r="AF23" i="28" s="1"/>
  <c r="AB24" i="28"/>
  <c r="AF24" i="28" s="1"/>
  <c r="AB25" i="28"/>
  <c r="D28" i="28"/>
  <c r="I36" i="28"/>
  <c r="U38" i="28"/>
  <c r="M21" i="21" s="1"/>
  <c r="T43" i="28"/>
  <c r="I44" i="28" s="1"/>
  <c r="AB47" i="28"/>
  <c r="AC48" i="28"/>
  <c r="AE48" i="28" s="1"/>
  <c r="AF48" i="28" s="1"/>
  <c r="R51" i="28"/>
  <c r="C24" i="28" s="1"/>
  <c r="AC50" i="28"/>
  <c r="AE50" i="28" s="1"/>
  <c r="L7" i="28"/>
  <c r="L15" i="28"/>
  <c r="I35" i="28"/>
  <c r="I55" i="27"/>
  <c r="Q53" i="27"/>
  <c r="I54" i="27"/>
  <c r="R52" i="27"/>
  <c r="I43" i="27" s="1"/>
  <c r="Q52" i="27"/>
  <c r="Q51" i="27"/>
  <c r="Z50" i="27"/>
  <c r="R50" i="27"/>
  <c r="Q50" i="27"/>
  <c r="Z49" i="27"/>
  <c r="R49" i="27"/>
  <c r="Q49" i="27"/>
  <c r="AE47" i="27"/>
  <c r="Z48" i="27"/>
  <c r="AB48" i="27" s="1"/>
  <c r="R48" i="27"/>
  <c r="Q48" i="27"/>
  <c r="R47" i="27"/>
  <c r="Q47" i="27"/>
  <c r="R46" i="27"/>
  <c r="Q46" i="27"/>
  <c r="Q43" i="27"/>
  <c r="I42" i="27"/>
  <c r="Q42" i="27"/>
  <c r="AH40" i="27"/>
  <c r="AD50" i="27" s="1"/>
  <c r="AH47" i="27" s="1"/>
  <c r="AH48" i="27" s="1"/>
  <c r="AH49" i="27" s="1"/>
  <c r="AH50" i="27" s="1"/>
  <c r="AC40" i="27"/>
  <c r="AA50" i="27" s="1"/>
  <c r="Q39" i="27"/>
  <c r="Q38" i="27"/>
  <c r="U37" i="27"/>
  <c r="N17" i="21" s="1"/>
  <c r="Q37" i="27"/>
  <c r="I34" i="27"/>
  <c r="T32" i="27"/>
  <c r="R32" i="27"/>
  <c r="Q34" i="27"/>
  <c r="R34" i="27"/>
  <c r="Q33" i="27"/>
  <c r="T31" i="27"/>
  <c r="R31" i="27"/>
  <c r="Q32" i="27"/>
  <c r="R33" i="27"/>
  <c r="Q31" i="27"/>
  <c r="I30" i="27"/>
  <c r="T30" i="27"/>
  <c r="R30" i="27"/>
  <c r="Q30" i="27"/>
  <c r="I29" i="27"/>
  <c r="T29" i="27"/>
  <c r="R29" i="27"/>
  <c r="Q29" i="27"/>
  <c r="I28" i="27"/>
  <c r="I27" i="27"/>
  <c r="V27" i="27"/>
  <c r="Q27" i="27"/>
  <c r="I26" i="27"/>
  <c r="Z26" i="27"/>
  <c r="V26" i="27"/>
  <c r="Q26" i="27"/>
  <c r="I25" i="27"/>
  <c r="C25" i="27"/>
  <c r="Z25" i="27"/>
  <c r="AC24" i="27"/>
  <c r="AE24" i="27" s="1"/>
  <c r="Z24" i="27"/>
  <c r="AB23" i="27"/>
  <c r="Q21" i="27"/>
  <c r="V19" i="27"/>
  <c r="Q19" i="27"/>
  <c r="V18" i="27"/>
  <c r="M8" i="27" s="1"/>
  <c r="R18" i="27"/>
  <c r="Q18" i="27"/>
  <c r="D18" i="27"/>
  <c r="T42" i="27" s="1"/>
  <c r="AH16" i="27"/>
  <c r="AD26" i="27" s="1"/>
  <c r="AH23" i="27" s="1"/>
  <c r="AH24" i="27" s="1"/>
  <c r="AH25" i="27" s="1"/>
  <c r="AH26" i="27" s="1"/>
  <c r="AC16" i="27"/>
  <c r="AA26" i="27" s="1"/>
  <c r="Q15" i="27"/>
  <c r="K15" i="27"/>
  <c r="J15" i="27"/>
  <c r="Q14" i="27"/>
  <c r="Q13" i="27"/>
  <c r="M13" i="27"/>
  <c r="K13" i="27"/>
  <c r="J13" i="27"/>
  <c r="L13" i="27" s="1"/>
  <c r="Q12" i="27"/>
  <c r="M12" i="27"/>
  <c r="K12" i="27"/>
  <c r="J12" i="27"/>
  <c r="L12" i="27" s="1"/>
  <c r="U11" i="27"/>
  <c r="Q11" i="27"/>
  <c r="M11" i="27"/>
  <c r="K11" i="27"/>
  <c r="J11" i="27"/>
  <c r="R10" i="27"/>
  <c r="Q10" i="27"/>
  <c r="M10" i="27"/>
  <c r="K10" i="27"/>
  <c r="J10" i="27"/>
  <c r="Q9" i="27"/>
  <c r="M9" i="27"/>
  <c r="K9" i="27"/>
  <c r="J9" i="27"/>
  <c r="Q8" i="27"/>
  <c r="K8" i="27"/>
  <c r="K18" i="27" s="1"/>
  <c r="J8" i="27"/>
  <c r="Q7" i="27"/>
  <c r="M7" i="27"/>
  <c r="K7" i="27"/>
  <c r="J7" i="27"/>
  <c r="L3" i="27"/>
  <c r="J3" i="27"/>
  <c r="I3" i="27"/>
  <c r="J2" i="27"/>
  <c r="F2" i="27"/>
  <c r="L1" i="27"/>
  <c r="J1" i="27"/>
  <c r="I1" i="27"/>
  <c r="L9" i="27" l="1"/>
  <c r="L10" i="27"/>
  <c r="B23" i="27"/>
  <c r="AF47" i="28"/>
  <c r="D30" i="28"/>
  <c r="D30" i="29"/>
  <c r="AF48" i="29"/>
  <c r="AF25" i="28"/>
  <c r="AB50" i="27"/>
  <c r="B25" i="27"/>
  <c r="B24" i="27"/>
  <c r="J14" i="27"/>
  <c r="D29" i="27"/>
  <c r="L11" i="27"/>
  <c r="L14" i="28"/>
  <c r="L16" i="28" s="1"/>
  <c r="L19" i="28" s="1"/>
  <c r="C25" i="31"/>
  <c r="K49" i="31"/>
  <c r="D32" i="31"/>
  <c r="B32" i="31"/>
  <c r="G32" i="31"/>
  <c r="AF50" i="29"/>
  <c r="B30" i="29"/>
  <c r="AF49" i="29"/>
  <c r="AF24" i="29"/>
  <c r="D19" i="29"/>
  <c r="I41" i="29"/>
  <c r="I39" i="29"/>
  <c r="I40" i="29"/>
  <c r="L14" i="29"/>
  <c r="L16" i="29" s="1"/>
  <c r="L19" i="29" s="1"/>
  <c r="R53" i="29"/>
  <c r="F30" i="29"/>
  <c r="F28" i="27"/>
  <c r="B30" i="28"/>
  <c r="R53" i="28"/>
  <c r="D19" i="28"/>
  <c r="F30" i="28"/>
  <c r="AC25" i="27"/>
  <c r="U39" i="27"/>
  <c r="L17" i="21" s="1"/>
  <c r="M16" i="27"/>
  <c r="AB26" i="27"/>
  <c r="I41" i="27"/>
  <c r="I39" i="27"/>
  <c r="I40" i="27"/>
  <c r="L15" i="27"/>
  <c r="L8" i="27"/>
  <c r="J18" i="27"/>
  <c r="L18" i="27" s="1"/>
  <c r="AE23" i="27"/>
  <c r="AF23" i="27" s="1"/>
  <c r="AB24" i="27"/>
  <c r="AF24" i="27" s="1"/>
  <c r="AB25" i="27"/>
  <c r="D28" i="27"/>
  <c r="I36" i="27"/>
  <c r="U38" i="27"/>
  <c r="M17" i="21" s="1"/>
  <c r="T43" i="27"/>
  <c r="I44" i="27" s="1"/>
  <c r="AB47" i="27"/>
  <c r="AF47" i="27" s="1"/>
  <c r="AC48" i="27"/>
  <c r="AB49" i="27"/>
  <c r="R51" i="27"/>
  <c r="C24" i="27" s="1"/>
  <c r="L7" i="27"/>
  <c r="I35" i="27"/>
  <c r="Z47" i="24"/>
  <c r="Z47" i="23"/>
  <c r="Z47" i="19"/>
  <c r="Z47" i="25"/>
  <c r="AD50" i="26"/>
  <c r="AD49" i="26"/>
  <c r="AD48" i="26"/>
  <c r="AD47" i="26"/>
  <c r="AA50" i="26"/>
  <c r="AA48" i="26"/>
  <c r="Z49" i="26" s="1"/>
  <c r="AA47" i="26"/>
  <c r="Z47" i="26"/>
  <c r="AD26" i="26"/>
  <c r="AD25" i="26"/>
  <c r="AD24" i="26"/>
  <c r="AA26" i="26"/>
  <c r="AA25" i="26"/>
  <c r="AA24" i="26"/>
  <c r="J7" i="26"/>
  <c r="I55" i="26"/>
  <c r="Q53" i="26"/>
  <c r="I54" i="26"/>
  <c r="R52" i="26"/>
  <c r="Q52" i="26"/>
  <c r="Q51" i="26"/>
  <c r="R50" i="26"/>
  <c r="Q50" i="26"/>
  <c r="AC49" i="26"/>
  <c r="AE49" i="26" s="1"/>
  <c r="R49" i="26"/>
  <c r="B24" i="26" s="1"/>
  <c r="Q49" i="26"/>
  <c r="AC47" i="26"/>
  <c r="Z48" i="26"/>
  <c r="AB48" i="26" s="1"/>
  <c r="R48" i="26"/>
  <c r="B23" i="26" s="1"/>
  <c r="Q48" i="26"/>
  <c r="R47" i="26"/>
  <c r="Q47" i="26"/>
  <c r="R46" i="26"/>
  <c r="C25" i="26" s="1"/>
  <c r="Q46" i="26"/>
  <c r="I43" i="26"/>
  <c r="Q43" i="26"/>
  <c r="I42" i="26"/>
  <c r="Q42" i="26"/>
  <c r="AH40" i="26"/>
  <c r="AC40" i="26"/>
  <c r="Q39" i="26"/>
  <c r="Q38" i="26"/>
  <c r="U37" i="26"/>
  <c r="Q37" i="26"/>
  <c r="I34" i="26"/>
  <c r="T32" i="26"/>
  <c r="R32" i="26"/>
  <c r="Q34" i="26"/>
  <c r="R34" i="26"/>
  <c r="Q33" i="26"/>
  <c r="T31" i="26"/>
  <c r="R31" i="26"/>
  <c r="Q32" i="26"/>
  <c r="R33" i="26"/>
  <c r="Q31" i="26"/>
  <c r="I30" i="26"/>
  <c r="T30" i="26"/>
  <c r="R30" i="26"/>
  <c r="Q30" i="26"/>
  <c r="I29" i="26"/>
  <c r="T29" i="26"/>
  <c r="R29" i="26"/>
  <c r="Q29" i="26"/>
  <c r="I28" i="26"/>
  <c r="I27" i="26"/>
  <c r="Z26" i="26"/>
  <c r="V27" i="26"/>
  <c r="Q27" i="26"/>
  <c r="I26" i="26"/>
  <c r="Z25" i="26"/>
  <c r="AB25" i="26" s="1"/>
  <c r="V26" i="26"/>
  <c r="Q26" i="26"/>
  <c r="I25" i="26"/>
  <c r="B25" i="26"/>
  <c r="AD23" i="26"/>
  <c r="AC23" i="26"/>
  <c r="AA23" i="26"/>
  <c r="AB23" i="26" s="1"/>
  <c r="Z23" i="26"/>
  <c r="Q21" i="26"/>
  <c r="V19" i="26"/>
  <c r="Q19" i="26"/>
  <c r="V18" i="26"/>
  <c r="R18" i="26"/>
  <c r="Q18" i="26"/>
  <c r="D18" i="26"/>
  <c r="T43" i="26" s="1"/>
  <c r="I44" i="26" s="1"/>
  <c r="AH16" i="26"/>
  <c r="M16" i="26"/>
  <c r="Q15" i="26"/>
  <c r="K15" i="26"/>
  <c r="J15" i="26"/>
  <c r="Q14" i="26"/>
  <c r="Q13" i="26"/>
  <c r="M13" i="26"/>
  <c r="K13" i="26"/>
  <c r="J13" i="26"/>
  <c r="Q12" i="26"/>
  <c r="M12" i="26"/>
  <c r="K12" i="26"/>
  <c r="J12" i="26"/>
  <c r="L12" i="26" s="1"/>
  <c r="U11" i="26"/>
  <c r="Q11" i="26"/>
  <c r="M11" i="26"/>
  <c r="K11" i="26"/>
  <c r="J11" i="26"/>
  <c r="R10" i="26"/>
  <c r="Q10" i="26"/>
  <c r="M10" i="26"/>
  <c r="K10" i="26"/>
  <c r="J10" i="26"/>
  <c r="Q9" i="26"/>
  <c r="M9" i="26"/>
  <c r="K9" i="26"/>
  <c r="J9" i="26"/>
  <c r="Q8" i="26"/>
  <c r="K8" i="26"/>
  <c r="K18" i="26" s="1"/>
  <c r="J8" i="26"/>
  <c r="Q7" i="26"/>
  <c r="M7" i="26"/>
  <c r="K7" i="26"/>
  <c r="L3" i="26"/>
  <c r="J3" i="26"/>
  <c r="I3" i="26"/>
  <c r="J2" i="26"/>
  <c r="F2" i="26"/>
  <c r="L1" i="26"/>
  <c r="J1" i="26"/>
  <c r="I1" i="26"/>
  <c r="R34" i="25"/>
  <c r="R33" i="25"/>
  <c r="R32" i="25"/>
  <c r="M13" i="25"/>
  <c r="M12" i="25"/>
  <c r="M11" i="25"/>
  <c r="T32" i="25"/>
  <c r="T31" i="25"/>
  <c r="T30" i="25"/>
  <c r="T29" i="25"/>
  <c r="R31" i="25"/>
  <c r="K13" i="25"/>
  <c r="J13" i="25"/>
  <c r="I55" i="25"/>
  <c r="Q53" i="25"/>
  <c r="I54" i="25"/>
  <c r="R52" i="25"/>
  <c r="I42" i="25" s="1"/>
  <c r="Q52" i="25"/>
  <c r="Q51" i="25"/>
  <c r="AD49" i="25"/>
  <c r="AA49" i="25"/>
  <c r="Z50" i="25" s="1"/>
  <c r="R50" i="25"/>
  <c r="Q50" i="25"/>
  <c r="AD48" i="25"/>
  <c r="AC49" i="25" s="1"/>
  <c r="AE49" i="25" s="1"/>
  <c r="AA48" i="25"/>
  <c r="Z49" i="25" s="1"/>
  <c r="R49" i="25"/>
  <c r="Q49" i="25"/>
  <c r="AD47" i="25"/>
  <c r="AC47" i="25"/>
  <c r="AA47" i="25"/>
  <c r="Z48" i="25" s="1"/>
  <c r="R48" i="25"/>
  <c r="Q48" i="25"/>
  <c r="R47" i="25"/>
  <c r="Q47" i="25"/>
  <c r="R46" i="25"/>
  <c r="C25" i="25" s="1"/>
  <c r="Q46" i="25"/>
  <c r="I43" i="25"/>
  <c r="Q43" i="25"/>
  <c r="Q42" i="25"/>
  <c r="AH40" i="25"/>
  <c r="AD50" i="25" s="1"/>
  <c r="AC40" i="25"/>
  <c r="AA50" i="25" s="1"/>
  <c r="Q39" i="25"/>
  <c r="Q38" i="25"/>
  <c r="Q37" i="25"/>
  <c r="I34" i="25"/>
  <c r="Q34" i="25"/>
  <c r="Q33" i="25"/>
  <c r="Q32" i="25"/>
  <c r="Q31" i="25"/>
  <c r="I30" i="25"/>
  <c r="R30" i="25"/>
  <c r="Q30" i="25"/>
  <c r="I29" i="25"/>
  <c r="R29" i="25"/>
  <c r="Q29" i="25"/>
  <c r="I28" i="25"/>
  <c r="I27" i="25"/>
  <c r="V27" i="25"/>
  <c r="Q27" i="25"/>
  <c r="I26" i="25"/>
  <c r="AD25" i="25"/>
  <c r="AA25" i="25"/>
  <c r="Z26" i="25" s="1"/>
  <c r="Z25" i="25"/>
  <c r="AB25" i="25" s="1"/>
  <c r="V26" i="25"/>
  <c r="Q26" i="25"/>
  <c r="I25" i="25"/>
  <c r="B25" i="25"/>
  <c r="AD24" i="25"/>
  <c r="AA24" i="25"/>
  <c r="AD23" i="25"/>
  <c r="AC23" i="25"/>
  <c r="AA23" i="25"/>
  <c r="Z23" i="25"/>
  <c r="J15" i="25"/>
  <c r="F28" i="25" s="1"/>
  <c r="Q21" i="25"/>
  <c r="V19" i="25"/>
  <c r="Q19" i="25"/>
  <c r="V18" i="25"/>
  <c r="R18" i="25"/>
  <c r="Q18" i="25"/>
  <c r="D18" i="25"/>
  <c r="T43" i="25" s="1"/>
  <c r="I44" i="25" s="1"/>
  <c r="AH16" i="25"/>
  <c r="AD26" i="25" s="1"/>
  <c r="AC16" i="25"/>
  <c r="AA26" i="25" s="1"/>
  <c r="Q15" i="25"/>
  <c r="K15" i="25"/>
  <c r="Q14" i="25"/>
  <c r="Q13" i="25"/>
  <c r="Q12" i="25"/>
  <c r="K12" i="25"/>
  <c r="J12" i="25"/>
  <c r="U11" i="25"/>
  <c r="Q11" i="25"/>
  <c r="K11" i="25"/>
  <c r="J11" i="25"/>
  <c r="R10" i="25"/>
  <c r="Q10" i="25"/>
  <c r="M10" i="25"/>
  <c r="K10" i="25"/>
  <c r="J10" i="25"/>
  <c r="L10" i="25" s="1"/>
  <c r="Q9" i="25"/>
  <c r="M9" i="25"/>
  <c r="K9" i="25"/>
  <c r="J9" i="25"/>
  <c r="L9" i="25" s="1"/>
  <c r="Q8" i="25"/>
  <c r="K8" i="25"/>
  <c r="K18" i="25" s="1"/>
  <c r="J8" i="25"/>
  <c r="Q7" i="25"/>
  <c r="M7" i="25"/>
  <c r="K7" i="25"/>
  <c r="J7" i="25"/>
  <c r="L3" i="25"/>
  <c r="J3" i="25"/>
  <c r="I3" i="25"/>
  <c r="J2" i="25"/>
  <c r="F2" i="25"/>
  <c r="L1" i="25"/>
  <c r="J1" i="25"/>
  <c r="I1" i="25"/>
  <c r="I55" i="24"/>
  <c r="Q53" i="24"/>
  <c r="I54" i="24"/>
  <c r="R52" i="24"/>
  <c r="Q52" i="24"/>
  <c r="Q51" i="24"/>
  <c r="AD49" i="24"/>
  <c r="AA49" i="24"/>
  <c r="Z50" i="24" s="1"/>
  <c r="R50" i="24"/>
  <c r="B25" i="24" s="1"/>
  <c r="Q50" i="24"/>
  <c r="AD48" i="24"/>
  <c r="AC49" i="24" s="1"/>
  <c r="AE49" i="24" s="1"/>
  <c r="AA48" i="24"/>
  <c r="Z49" i="24" s="1"/>
  <c r="R49" i="24"/>
  <c r="Q49" i="24"/>
  <c r="AD47" i="24"/>
  <c r="AC47" i="24"/>
  <c r="AA47" i="24"/>
  <c r="Z48" i="24" s="1"/>
  <c r="AB48" i="24" s="1"/>
  <c r="R48" i="24"/>
  <c r="Q48" i="24"/>
  <c r="R47" i="24"/>
  <c r="Q47" i="24"/>
  <c r="R46" i="24"/>
  <c r="C25" i="24" s="1"/>
  <c r="Q46" i="24"/>
  <c r="AE43" i="24"/>
  <c r="AA43" i="24"/>
  <c r="I43" i="24"/>
  <c r="Q43" i="24"/>
  <c r="I42" i="24"/>
  <c r="Q42" i="24"/>
  <c r="AH40" i="24"/>
  <c r="AD50" i="24" s="1"/>
  <c r="AC40" i="24"/>
  <c r="AA50" i="24" s="1"/>
  <c r="AB50" i="24" s="1"/>
  <c r="Q39" i="24"/>
  <c r="Q38" i="24"/>
  <c r="U37" i="24"/>
  <c r="N10" i="21" s="1"/>
  <c r="Q37" i="24"/>
  <c r="I34" i="24"/>
  <c r="Q34" i="24"/>
  <c r="Q33" i="24"/>
  <c r="Q32" i="24"/>
  <c r="R31" i="24"/>
  <c r="Q31" i="24"/>
  <c r="I30" i="24"/>
  <c r="R30" i="24"/>
  <c r="Q30" i="24"/>
  <c r="I29" i="24"/>
  <c r="R29" i="24"/>
  <c r="Q29" i="24"/>
  <c r="I28" i="24"/>
  <c r="I27" i="24"/>
  <c r="V27" i="24"/>
  <c r="Q27" i="24"/>
  <c r="I26" i="24"/>
  <c r="AD25" i="24"/>
  <c r="AA25" i="24"/>
  <c r="Z26" i="24" s="1"/>
  <c r="V26" i="24"/>
  <c r="Q26" i="24"/>
  <c r="I25" i="24"/>
  <c r="AD24" i="24"/>
  <c r="AA24" i="24"/>
  <c r="Z25" i="24" s="1"/>
  <c r="B24" i="24"/>
  <c r="AD23" i="24"/>
  <c r="AC23" i="24"/>
  <c r="AE23" i="24" s="1"/>
  <c r="AA23" i="24"/>
  <c r="Z23" i="24"/>
  <c r="B23" i="24"/>
  <c r="J15" i="24"/>
  <c r="Q21" i="24"/>
  <c r="V19" i="24"/>
  <c r="Q19" i="24"/>
  <c r="V18" i="24"/>
  <c r="M8" i="24" s="1"/>
  <c r="R18" i="24"/>
  <c r="Q18" i="24"/>
  <c r="D18" i="24"/>
  <c r="T43" i="24" s="1"/>
  <c r="I44" i="24" s="1"/>
  <c r="AH16" i="24"/>
  <c r="AD26" i="24" s="1"/>
  <c r="AC16" i="24"/>
  <c r="AA26" i="24" s="1"/>
  <c r="Q15" i="24"/>
  <c r="K15" i="24"/>
  <c r="Q14" i="24"/>
  <c r="Q13" i="24"/>
  <c r="Q12" i="24"/>
  <c r="M12" i="24"/>
  <c r="K12" i="24"/>
  <c r="J12" i="24"/>
  <c r="L12" i="24" s="1"/>
  <c r="U11" i="24"/>
  <c r="Q11" i="24"/>
  <c r="M11" i="24"/>
  <c r="K11" i="24"/>
  <c r="J11" i="24"/>
  <c r="R10" i="24"/>
  <c r="Q10" i="24"/>
  <c r="M10" i="24"/>
  <c r="K10" i="24"/>
  <c r="J10" i="24"/>
  <c r="L10" i="24" s="1"/>
  <c r="Q9" i="24"/>
  <c r="M9" i="24"/>
  <c r="K9" i="24"/>
  <c r="J9" i="24"/>
  <c r="L9" i="24" s="1"/>
  <c r="Q8" i="24"/>
  <c r="K8" i="24"/>
  <c r="K18" i="24" s="1"/>
  <c r="J8" i="24"/>
  <c r="Q7" i="24"/>
  <c r="M7" i="24"/>
  <c r="K7" i="24"/>
  <c r="J7" i="24"/>
  <c r="L3" i="24"/>
  <c r="J3" i="24"/>
  <c r="I3" i="24"/>
  <c r="J2" i="24"/>
  <c r="F2" i="24"/>
  <c r="L1" i="24"/>
  <c r="J1" i="24"/>
  <c r="I1" i="24"/>
  <c r="AC16" i="19"/>
  <c r="AC16" i="23"/>
  <c r="I55" i="23"/>
  <c r="Q53" i="23"/>
  <c r="I54" i="23"/>
  <c r="R52" i="23"/>
  <c r="I42" i="23" s="1"/>
  <c r="Q52" i="23"/>
  <c r="Q51" i="23"/>
  <c r="AD49" i="23"/>
  <c r="AA49" i="23"/>
  <c r="Z50" i="23" s="1"/>
  <c r="R50" i="23"/>
  <c r="Q50" i="23"/>
  <c r="AD48" i="23"/>
  <c r="AC49" i="23" s="1"/>
  <c r="AE49" i="23" s="1"/>
  <c r="AA48" i="23"/>
  <c r="Z49" i="23" s="1"/>
  <c r="R49" i="23"/>
  <c r="Q49" i="23"/>
  <c r="AD47" i="23"/>
  <c r="AC47" i="23"/>
  <c r="AA47" i="23"/>
  <c r="Z48" i="23" s="1"/>
  <c r="AB48" i="23" s="1"/>
  <c r="R48" i="23"/>
  <c r="Q48" i="23"/>
  <c r="R47" i="23"/>
  <c r="Q47" i="23"/>
  <c r="R46" i="23"/>
  <c r="C25" i="23" s="1"/>
  <c r="Q46" i="23"/>
  <c r="I43" i="23"/>
  <c r="Q43" i="23"/>
  <c r="Q42" i="23"/>
  <c r="AH40" i="23"/>
  <c r="AD50" i="23" s="1"/>
  <c r="AC40" i="23"/>
  <c r="AA50" i="23" s="1"/>
  <c r="AB50" i="23" s="1"/>
  <c r="Q39" i="23"/>
  <c r="Q38" i="23"/>
  <c r="U37" i="23"/>
  <c r="Q37" i="23"/>
  <c r="I34" i="23"/>
  <c r="Q34" i="23"/>
  <c r="Q33" i="23"/>
  <c r="Q32" i="23"/>
  <c r="R31" i="23"/>
  <c r="Q31" i="23"/>
  <c r="I30" i="23"/>
  <c r="R30" i="23"/>
  <c r="Q30" i="23"/>
  <c r="I29" i="23"/>
  <c r="R29" i="23"/>
  <c r="Q29" i="23"/>
  <c r="I28" i="23"/>
  <c r="I27" i="23"/>
  <c r="AA26" i="23"/>
  <c r="V27" i="23"/>
  <c r="Q27" i="23"/>
  <c r="I26" i="23"/>
  <c r="AD25" i="23"/>
  <c r="AA25" i="23"/>
  <c r="Z26" i="23" s="1"/>
  <c r="Z25" i="23"/>
  <c r="V26" i="23"/>
  <c r="Q26" i="23"/>
  <c r="I25" i="23"/>
  <c r="AD24" i="23"/>
  <c r="AA24" i="23"/>
  <c r="B24" i="23"/>
  <c r="AD23" i="23"/>
  <c r="AC23" i="23"/>
  <c r="AA23" i="23"/>
  <c r="Z23" i="23"/>
  <c r="J15" i="23"/>
  <c r="Q21" i="23"/>
  <c r="V19" i="23"/>
  <c r="Q19" i="23"/>
  <c r="V18" i="23"/>
  <c r="M8" i="23" s="1"/>
  <c r="R18" i="23"/>
  <c r="Q18" i="23"/>
  <c r="D18" i="23"/>
  <c r="T43" i="23" s="1"/>
  <c r="I44" i="23" s="1"/>
  <c r="AH16" i="23"/>
  <c r="AD26" i="23" s="1"/>
  <c r="Q15" i="23"/>
  <c r="K15" i="23"/>
  <c r="Q14" i="23"/>
  <c r="Q13" i="23"/>
  <c r="Q12" i="23"/>
  <c r="M12" i="23"/>
  <c r="K12" i="23"/>
  <c r="J12" i="23"/>
  <c r="U11" i="23"/>
  <c r="Q11" i="23"/>
  <c r="M11" i="23"/>
  <c r="K11" i="23"/>
  <c r="J11" i="23"/>
  <c r="R10" i="23"/>
  <c r="Q10" i="23"/>
  <c r="M10" i="23"/>
  <c r="K10" i="23"/>
  <c r="J10" i="23"/>
  <c r="Q9" i="23"/>
  <c r="M9" i="23"/>
  <c r="K9" i="23"/>
  <c r="J9" i="23"/>
  <c r="Q8" i="23"/>
  <c r="K8" i="23"/>
  <c r="K18" i="23" s="1"/>
  <c r="J8" i="23"/>
  <c r="Q7" i="23"/>
  <c r="M7" i="23"/>
  <c r="K7" i="23"/>
  <c r="J7" i="23"/>
  <c r="L3" i="23"/>
  <c r="J3" i="23"/>
  <c r="I3" i="23"/>
  <c r="J2" i="23"/>
  <c r="F2" i="23"/>
  <c r="L1" i="23"/>
  <c r="J1" i="23"/>
  <c r="I1" i="23"/>
  <c r="M16" i="24" l="1"/>
  <c r="AB26" i="23"/>
  <c r="B23" i="23"/>
  <c r="M8" i="26"/>
  <c r="AE47" i="26"/>
  <c r="L9" i="26"/>
  <c r="L10" i="26"/>
  <c r="AB23" i="23"/>
  <c r="AB23" i="24"/>
  <c r="AF23" i="24" s="1"/>
  <c r="M8" i="25"/>
  <c r="AE23" i="26"/>
  <c r="B24" i="25"/>
  <c r="B25" i="23"/>
  <c r="L7" i="23"/>
  <c r="M16" i="23"/>
  <c r="J18" i="23"/>
  <c r="AB50" i="25"/>
  <c r="AE23" i="25"/>
  <c r="AE47" i="24"/>
  <c r="AB26" i="24"/>
  <c r="AB25" i="24"/>
  <c r="AE47" i="23"/>
  <c r="AE23" i="23"/>
  <c r="AB25" i="23"/>
  <c r="B23" i="25"/>
  <c r="D30" i="27"/>
  <c r="R53" i="27"/>
  <c r="C23" i="27" s="1"/>
  <c r="J18" i="26"/>
  <c r="J14" i="26"/>
  <c r="D29" i="26"/>
  <c r="F28" i="24"/>
  <c r="J18" i="24"/>
  <c r="J14" i="24"/>
  <c r="D29" i="24"/>
  <c r="L11" i="26"/>
  <c r="L11" i="24"/>
  <c r="L9" i="23"/>
  <c r="L10" i="23"/>
  <c r="M16" i="25"/>
  <c r="I45" i="29"/>
  <c r="C23" i="29"/>
  <c r="B19" i="29"/>
  <c r="I45" i="28"/>
  <c r="C23" i="28"/>
  <c r="B19" i="28"/>
  <c r="AE48" i="27"/>
  <c r="AF48" i="27" s="1"/>
  <c r="AC49" i="27"/>
  <c r="AE25" i="27"/>
  <c r="AF25" i="27" s="1"/>
  <c r="AC26" i="27"/>
  <c r="AE26" i="27" s="1"/>
  <c r="AF26" i="27" s="1"/>
  <c r="L13" i="26"/>
  <c r="L13" i="25"/>
  <c r="L14" i="27"/>
  <c r="L16" i="27" s="1"/>
  <c r="L19" i="27" s="1"/>
  <c r="F30" i="27"/>
  <c r="I45" i="27"/>
  <c r="D19" i="27"/>
  <c r="B30" i="27"/>
  <c r="U39" i="26"/>
  <c r="F28" i="26"/>
  <c r="AH23" i="26"/>
  <c r="AH24" i="26" s="1"/>
  <c r="AH25" i="26" s="1"/>
  <c r="AH26" i="26" s="1"/>
  <c r="L18" i="26"/>
  <c r="AF23" i="26"/>
  <c r="AC50" i="26"/>
  <c r="AE50" i="26" s="1"/>
  <c r="AH47" i="26"/>
  <c r="AH48" i="26" s="1"/>
  <c r="AH49" i="26" s="1"/>
  <c r="AH50" i="26" s="1"/>
  <c r="L8" i="26"/>
  <c r="Z24" i="26"/>
  <c r="AB24" i="26" s="1"/>
  <c r="D28" i="26"/>
  <c r="I35" i="26"/>
  <c r="T42" i="26"/>
  <c r="AB47" i="26"/>
  <c r="AF47" i="26" s="1"/>
  <c r="AC48" i="26"/>
  <c r="AE48" i="26" s="1"/>
  <c r="AF48" i="26" s="1"/>
  <c r="R51" i="26"/>
  <c r="C24" i="26" s="1"/>
  <c r="R53" i="26"/>
  <c r="L7" i="26"/>
  <c r="L15" i="26"/>
  <c r="AC24" i="26"/>
  <c r="AE24" i="26" s="1"/>
  <c r="AC25" i="26"/>
  <c r="AC26" i="26" s="1"/>
  <c r="AE26" i="26" s="1"/>
  <c r="I36" i="26"/>
  <c r="U38" i="26"/>
  <c r="AE47" i="25"/>
  <c r="AB48" i="25"/>
  <c r="AB26" i="25"/>
  <c r="AB23" i="25"/>
  <c r="AF23" i="25" s="1"/>
  <c r="J14" i="25"/>
  <c r="J18" i="25"/>
  <c r="D29" i="25"/>
  <c r="L12" i="25"/>
  <c r="L11" i="25"/>
  <c r="L18" i="25"/>
  <c r="L15" i="25"/>
  <c r="D28" i="25"/>
  <c r="AC50" i="25"/>
  <c r="AE50" i="25" s="1"/>
  <c r="AF50" i="25" s="1"/>
  <c r="AH47" i="25"/>
  <c r="AH48" i="25" s="1"/>
  <c r="AH49" i="25" s="1"/>
  <c r="AH50" i="25" s="1"/>
  <c r="L8" i="25"/>
  <c r="Z24" i="25"/>
  <c r="AB24" i="25" s="1"/>
  <c r="I36" i="25"/>
  <c r="U38" i="25"/>
  <c r="U39" i="25"/>
  <c r="T42" i="25"/>
  <c r="AB47" i="25"/>
  <c r="AF47" i="25" s="1"/>
  <c r="AC48" i="25"/>
  <c r="AE48" i="25" s="1"/>
  <c r="AB49" i="25"/>
  <c r="AF49" i="25" s="1"/>
  <c r="R51" i="25"/>
  <c r="C24" i="25" s="1"/>
  <c r="R53" i="25"/>
  <c r="L7" i="25"/>
  <c r="AH23" i="25"/>
  <c r="AH24" i="25" s="1"/>
  <c r="AH25" i="25" s="1"/>
  <c r="AH26" i="25" s="1"/>
  <c r="AC24" i="25"/>
  <c r="AE24" i="25" s="1"/>
  <c r="AC25" i="25"/>
  <c r="AE25" i="25" s="1"/>
  <c r="AF25" i="25" s="1"/>
  <c r="I35" i="25"/>
  <c r="L15" i="24"/>
  <c r="D28" i="24"/>
  <c r="D30" i="24" s="1"/>
  <c r="AC50" i="24"/>
  <c r="AE50" i="24" s="1"/>
  <c r="AF50" i="24" s="1"/>
  <c r="AH47" i="24"/>
  <c r="AH48" i="24" s="1"/>
  <c r="AH49" i="24" s="1"/>
  <c r="AH50" i="24" s="1"/>
  <c r="L18" i="24"/>
  <c r="L8" i="24"/>
  <c r="Z24" i="24"/>
  <c r="AB24" i="24" s="1"/>
  <c r="I36" i="24"/>
  <c r="U38" i="24"/>
  <c r="M10" i="21" s="1"/>
  <c r="U39" i="24"/>
  <c r="L10" i="21" s="1"/>
  <c r="T42" i="24"/>
  <c r="AB47" i="24"/>
  <c r="AF47" i="24" s="1"/>
  <c r="AC48" i="24"/>
  <c r="AE48" i="24" s="1"/>
  <c r="AF48" i="24" s="1"/>
  <c r="AB49" i="24"/>
  <c r="AF49" i="24" s="1"/>
  <c r="R51" i="24"/>
  <c r="C24" i="24" s="1"/>
  <c r="R53" i="24"/>
  <c r="L7" i="24"/>
  <c r="L14" i="24" s="1"/>
  <c r="L16" i="24" s="1"/>
  <c r="L19" i="24" s="1"/>
  <c r="AH23" i="24"/>
  <c r="AH24" i="24" s="1"/>
  <c r="AH25" i="24" s="1"/>
  <c r="AH26" i="24" s="1"/>
  <c r="AC24" i="24"/>
  <c r="AE24" i="24" s="1"/>
  <c r="AC25" i="24"/>
  <c r="AE25" i="24" s="1"/>
  <c r="AF25" i="24" s="1"/>
  <c r="I35" i="24"/>
  <c r="J14" i="23"/>
  <c r="D29" i="23"/>
  <c r="L12" i="23"/>
  <c r="L11" i="23"/>
  <c r="F28" i="23"/>
  <c r="D28" i="23"/>
  <c r="L18" i="23"/>
  <c r="AF23" i="23"/>
  <c r="AC50" i="23"/>
  <c r="AE50" i="23" s="1"/>
  <c r="AF50" i="23" s="1"/>
  <c r="AH47" i="23"/>
  <c r="AH48" i="23" s="1"/>
  <c r="AH49" i="23" s="1"/>
  <c r="AH50" i="23" s="1"/>
  <c r="L15" i="23"/>
  <c r="Z24" i="23"/>
  <c r="AB24" i="23" s="1"/>
  <c r="I36" i="23"/>
  <c r="U38" i="23"/>
  <c r="U39" i="23"/>
  <c r="T42" i="23"/>
  <c r="AC48" i="23"/>
  <c r="AE48" i="23" s="1"/>
  <c r="AF48" i="23" s="1"/>
  <c r="AB49" i="23"/>
  <c r="AF49" i="23" s="1"/>
  <c r="R51" i="23"/>
  <c r="C24" i="23" s="1"/>
  <c r="R53" i="23"/>
  <c r="L8" i="23"/>
  <c r="AH23" i="23"/>
  <c r="AH24" i="23" s="1"/>
  <c r="AH25" i="23" s="1"/>
  <c r="AH26" i="23" s="1"/>
  <c r="AC24" i="23"/>
  <c r="AE24" i="23" s="1"/>
  <c r="AC25" i="23"/>
  <c r="AE25" i="23" s="1"/>
  <c r="I35" i="23"/>
  <c r="Q50" i="19"/>
  <c r="Q51" i="19"/>
  <c r="Q52" i="19"/>
  <c r="Q53" i="19"/>
  <c r="Q12" i="19"/>
  <c r="Q13" i="19"/>
  <c r="Q14" i="19"/>
  <c r="Q15" i="19"/>
  <c r="V27" i="19"/>
  <c r="V26" i="19"/>
  <c r="Q26" i="19"/>
  <c r="Q27" i="19"/>
  <c r="M12" i="19"/>
  <c r="M11" i="19"/>
  <c r="M9" i="19"/>
  <c r="M10" i="19"/>
  <c r="M7" i="19"/>
  <c r="D30" i="26" l="1"/>
  <c r="F30" i="24"/>
  <c r="AC26" i="24"/>
  <c r="AE26" i="24" s="1"/>
  <c r="AF26" i="24" s="1"/>
  <c r="AF25" i="23"/>
  <c r="B19" i="27"/>
  <c r="L14" i="26"/>
  <c r="L16" i="26" s="1"/>
  <c r="L19" i="26" s="1"/>
  <c r="B30" i="24"/>
  <c r="AE49" i="27"/>
  <c r="AF49" i="27" s="1"/>
  <c r="AC50" i="27"/>
  <c r="AE50" i="27" s="1"/>
  <c r="AF50" i="27" s="1"/>
  <c r="I45" i="26"/>
  <c r="C23" i="26"/>
  <c r="B19" i="26"/>
  <c r="I40" i="26"/>
  <c r="I41" i="26"/>
  <c r="I39" i="26"/>
  <c r="B30" i="26"/>
  <c r="D19" i="26"/>
  <c r="AF24" i="26"/>
  <c r="AE25" i="26"/>
  <c r="AF25" i="26" s="1"/>
  <c r="F30" i="26"/>
  <c r="AF48" i="25"/>
  <c r="D30" i="25"/>
  <c r="L14" i="25"/>
  <c r="L16" i="25" s="1"/>
  <c r="L19" i="25" s="1"/>
  <c r="AC26" i="25"/>
  <c r="AE26" i="25" s="1"/>
  <c r="AF26" i="25" s="1"/>
  <c r="D19" i="25"/>
  <c r="B30" i="25"/>
  <c r="I45" i="25"/>
  <c r="C23" i="25"/>
  <c r="B19" i="25"/>
  <c r="I39" i="25"/>
  <c r="I41" i="25"/>
  <c r="I40" i="25"/>
  <c r="AF24" i="25"/>
  <c r="F30" i="25"/>
  <c r="I45" i="24"/>
  <c r="C23" i="24"/>
  <c r="B19" i="24"/>
  <c r="I39" i="24"/>
  <c r="I41" i="24"/>
  <c r="I40" i="24"/>
  <c r="AF24" i="24"/>
  <c r="D19" i="24"/>
  <c r="F30" i="23"/>
  <c r="L14" i="23"/>
  <c r="L16" i="23" s="1"/>
  <c r="L19" i="23" s="1"/>
  <c r="B30" i="23"/>
  <c r="D30" i="23"/>
  <c r="AC26" i="23"/>
  <c r="AE26" i="23" s="1"/>
  <c r="AF26" i="23" s="1"/>
  <c r="D19" i="23"/>
  <c r="I45" i="23"/>
  <c r="C23" i="23"/>
  <c r="B19" i="23"/>
  <c r="I39" i="23"/>
  <c r="I41" i="23"/>
  <c r="I40" i="23"/>
  <c r="AF24" i="23"/>
  <c r="J7" i="19"/>
  <c r="Q49" i="19" l="1"/>
  <c r="Q48" i="19"/>
  <c r="Q47" i="19"/>
  <c r="Q46" i="19"/>
  <c r="Q43" i="19"/>
  <c r="Q42" i="19"/>
  <c r="Q39" i="19"/>
  <c r="Q38" i="19"/>
  <c r="Q37" i="19"/>
  <c r="Q34" i="19"/>
  <c r="Q33" i="19"/>
  <c r="Q32" i="19"/>
  <c r="Q31" i="19"/>
  <c r="Q30" i="19"/>
  <c r="Q29" i="19"/>
  <c r="Q21" i="19"/>
  <c r="Q19" i="19"/>
  <c r="Q18" i="19"/>
  <c r="Q8" i="19"/>
  <c r="Q9" i="19"/>
  <c r="Q10" i="19"/>
  <c r="Q11" i="19"/>
  <c r="Q7" i="19"/>
  <c r="AC40" i="19" l="1"/>
  <c r="AH40" i="19"/>
  <c r="AD50" i="19" s="1"/>
  <c r="AD49" i="19"/>
  <c r="AD48" i="19"/>
  <c r="AD47" i="19"/>
  <c r="AC47" i="19"/>
  <c r="AA50" i="19"/>
  <c r="AA49" i="19"/>
  <c r="AA48" i="19"/>
  <c r="AA47" i="19"/>
  <c r="AD25" i="19"/>
  <c r="AD24" i="19"/>
  <c r="AD23" i="19"/>
  <c r="AC23" i="19"/>
  <c r="AA26" i="19"/>
  <c r="AA25" i="19"/>
  <c r="AA24" i="19"/>
  <c r="AA23" i="19"/>
  <c r="Z23" i="19"/>
  <c r="AH16" i="19"/>
  <c r="AD26" i="19" s="1"/>
  <c r="K15" i="19" l="1"/>
  <c r="J15" i="19"/>
  <c r="L1" i="19"/>
  <c r="J1" i="19"/>
  <c r="I1" i="19"/>
  <c r="K12" i="19"/>
  <c r="K11" i="19"/>
  <c r="K10" i="19"/>
  <c r="K9" i="19"/>
  <c r="K8" i="19"/>
  <c r="K7" i="19"/>
  <c r="L7" i="19" s="1"/>
  <c r="I55" i="19" l="1"/>
  <c r="I54" i="19"/>
  <c r="T14" i="3"/>
  <c r="R11" i="3"/>
  <c r="F2" i="19"/>
  <c r="J2" i="19"/>
  <c r="I3" i="19"/>
  <c r="J3" i="19"/>
  <c r="L3" i="19"/>
  <c r="J8" i="19"/>
  <c r="L8" i="19"/>
  <c r="AB23" i="19"/>
  <c r="Z24" i="19"/>
  <c r="AB24" i="19" s="1"/>
  <c r="J9" i="19"/>
  <c r="L9" i="19" s="1"/>
  <c r="J10" i="19"/>
  <c r="L10" i="19" s="1"/>
  <c r="U37" i="19"/>
  <c r="J11" i="19"/>
  <c r="L11" i="19" s="1"/>
  <c r="AH23" i="19"/>
  <c r="AH24" i="19" s="1"/>
  <c r="AH25" i="19" s="1"/>
  <c r="AH26" i="19" s="1"/>
  <c r="J12" i="19"/>
  <c r="L12" i="19" s="1"/>
  <c r="R10" i="19"/>
  <c r="Z25" i="19"/>
  <c r="U11" i="19"/>
  <c r="Z26" i="19"/>
  <c r="L15" i="19"/>
  <c r="R29" i="19"/>
  <c r="R30" i="19"/>
  <c r="AA43" i="19"/>
  <c r="Z48" i="19"/>
  <c r="AB48" i="19" s="1"/>
  <c r="AE43" i="19"/>
  <c r="R31" i="19"/>
  <c r="D18" i="19"/>
  <c r="I35" i="19" s="1"/>
  <c r="K18" i="19"/>
  <c r="R52" i="19"/>
  <c r="I43" i="19" s="1"/>
  <c r="AE47" i="19"/>
  <c r="AH47" i="19"/>
  <c r="AH48" i="19" s="1"/>
  <c r="AH49" i="19" s="1"/>
  <c r="AH50" i="19" s="1"/>
  <c r="AC48" i="19"/>
  <c r="AE48" i="19" s="1"/>
  <c r="Z49" i="19"/>
  <c r="AB49" i="19" s="1"/>
  <c r="AC49" i="19"/>
  <c r="AE49" i="19" s="1"/>
  <c r="R48" i="19"/>
  <c r="Z50" i="19"/>
  <c r="AB50" i="19" s="1"/>
  <c r="I25" i="19"/>
  <c r="I26" i="19"/>
  <c r="R18" i="19"/>
  <c r="V18" i="19"/>
  <c r="I27" i="19"/>
  <c r="V19" i="19"/>
  <c r="I28" i="19"/>
  <c r="I29" i="19"/>
  <c r="I30" i="19"/>
  <c r="I34" i="19"/>
  <c r="R46" i="19"/>
  <c r="C25" i="19" s="1"/>
  <c r="R47" i="19"/>
  <c r="R49" i="19"/>
  <c r="R50" i="19"/>
  <c r="H3" i="3"/>
  <c r="Q17" i="3"/>
  <c r="F23" i="3"/>
  <c r="J16" i="42" l="1"/>
  <c r="T43" i="19"/>
  <c r="R53" i="19" s="1"/>
  <c r="J16" i="40"/>
  <c r="K17" i="40" s="1"/>
  <c r="AE20" i="40" s="1"/>
  <c r="J16" i="39"/>
  <c r="K17" i="39" s="1"/>
  <c r="AE20" i="39" s="1"/>
  <c r="J16" i="38"/>
  <c r="Q20" i="3"/>
  <c r="J16" i="36"/>
  <c r="K17" i="36" s="1"/>
  <c r="AE20" i="36" s="1"/>
  <c r="J16" i="35"/>
  <c r="K17" i="35" s="1"/>
  <c r="AE20" i="35" s="1"/>
  <c r="J16" i="34"/>
  <c r="J16" i="33"/>
  <c r="K17" i="33" s="1"/>
  <c r="AE20" i="33" s="1"/>
  <c r="M8" i="19"/>
  <c r="L17" i="32"/>
  <c r="M18" i="32" s="1"/>
  <c r="AG18" i="32" s="1"/>
  <c r="I42" i="19"/>
  <c r="T42" i="19"/>
  <c r="I41" i="19" s="1"/>
  <c r="I3" i="3"/>
  <c r="L17" i="31"/>
  <c r="J16" i="29"/>
  <c r="J16" i="28"/>
  <c r="J16" i="27"/>
  <c r="J16" i="26"/>
  <c r="K17" i="26" s="1"/>
  <c r="AE20" i="26" s="1"/>
  <c r="J16" i="25"/>
  <c r="K17" i="25" s="1"/>
  <c r="AE20" i="25" s="1"/>
  <c r="J16" i="24"/>
  <c r="J16" i="23"/>
  <c r="K17" i="23" s="1"/>
  <c r="AE20" i="23" s="1"/>
  <c r="B23" i="19"/>
  <c r="I45" i="19"/>
  <c r="I44" i="19"/>
  <c r="B25" i="19"/>
  <c r="D29" i="19"/>
  <c r="F2" i="3"/>
  <c r="AC50" i="19"/>
  <c r="AE50" i="19" s="1"/>
  <c r="AF50" i="19" s="1"/>
  <c r="AB25" i="19"/>
  <c r="AB26" i="19"/>
  <c r="AF49" i="19"/>
  <c r="B19" i="19"/>
  <c r="C23" i="19"/>
  <c r="AF48" i="19"/>
  <c r="B24" i="19"/>
  <c r="M16" i="19"/>
  <c r="U39" i="19"/>
  <c r="L13" i="21" s="1"/>
  <c r="D28" i="19"/>
  <c r="U38" i="19"/>
  <c r="F28" i="19"/>
  <c r="J18" i="19"/>
  <c r="L18" i="19" s="1"/>
  <c r="R51" i="19"/>
  <c r="C24" i="19" s="1"/>
  <c r="I36" i="19"/>
  <c r="L14" i="19"/>
  <c r="L16" i="19" s="1"/>
  <c r="J14" i="19"/>
  <c r="J16" i="19" s="1"/>
  <c r="AA20" i="42" l="1"/>
  <c r="J19" i="42"/>
  <c r="R8" i="42"/>
  <c r="B1" i="40"/>
  <c r="B1" i="42"/>
  <c r="K17" i="42"/>
  <c r="AE20" i="42" s="1"/>
  <c r="D30" i="19"/>
  <c r="R8" i="40"/>
  <c r="J19" i="40"/>
  <c r="AA20" i="40"/>
  <c r="B1" i="38"/>
  <c r="B1" i="39"/>
  <c r="J19" i="39"/>
  <c r="AA20" i="39"/>
  <c r="R8" i="39"/>
  <c r="J19" i="38"/>
  <c r="AA20" i="38"/>
  <c r="R8" i="38"/>
  <c r="K17" i="38"/>
  <c r="AE20" i="38" s="1"/>
  <c r="R8" i="36"/>
  <c r="AA20" i="36"/>
  <c r="J19" i="36"/>
  <c r="R8" i="35"/>
  <c r="AA20" i="35"/>
  <c r="J19" i="35"/>
  <c r="AA20" i="34"/>
  <c r="J19" i="34"/>
  <c r="R8" i="34"/>
  <c r="K17" i="34"/>
  <c r="AE20" i="34" s="1"/>
  <c r="AA20" i="33"/>
  <c r="J19" i="33"/>
  <c r="R8" i="33"/>
  <c r="AC18" i="32"/>
  <c r="T8" i="32"/>
  <c r="L20" i="32"/>
  <c r="K17" i="28"/>
  <c r="AE20" i="28" s="1"/>
  <c r="K17" i="19"/>
  <c r="AE20" i="19" s="1"/>
  <c r="B30" i="19"/>
  <c r="I40" i="19"/>
  <c r="I39" i="19"/>
  <c r="M18" i="31"/>
  <c r="AG18" i="31" s="1"/>
  <c r="T10" i="31"/>
  <c r="B23" i="31" s="1"/>
  <c r="I4" i="21"/>
  <c r="AC18" i="31"/>
  <c r="T8" i="31"/>
  <c r="L20" i="31"/>
  <c r="J19" i="29"/>
  <c r="R11" i="29" s="1"/>
  <c r="B21" i="29" s="1"/>
  <c r="AA20" i="29"/>
  <c r="R8" i="29"/>
  <c r="K17" i="29"/>
  <c r="AE20" i="29" s="1"/>
  <c r="AA20" i="28"/>
  <c r="R8" i="28"/>
  <c r="J19" i="28"/>
  <c r="AA20" i="27"/>
  <c r="J19" i="27"/>
  <c r="R11" i="27" s="1"/>
  <c r="B21" i="27" s="1"/>
  <c r="R8" i="27"/>
  <c r="K17" i="27"/>
  <c r="AE20" i="27" s="1"/>
  <c r="AA20" i="26"/>
  <c r="R8" i="26"/>
  <c r="J19" i="26"/>
  <c r="R11" i="26" s="1"/>
  <c r="B21" i="26" s="1"/>
  <c r="AA20" i="25"/>
  <c r="R8" i="25"/>
  <c r="J19" i="25"/>
  <c r="R11" i="25" s="1"/>
  <c r="B21" i="25" s="1"/>
  <c r="AA20" i="24"/>
  <c r="R8" i="24"/>
  <c r="J19" i="24"/>
  <c r="B21" i="24"/>
  <c r="K17" i="24"/>
  <c r="AE20" i="24" s="1"/>
  <c r="AA20" i="23"/>
  <c r="B21" i="23"/>
  <c r="J19" i="23"/>
  <c r="R8" i="23"/>
  <c r="L19" i="19"/>
  <c r="D19" i="19"/>
  <c r="F30" i="19"/>
  <c r="J19" i="19"/>
  <c r="R8" i="19"/>
  <c r="AA20" i="19"/>
  <c r="AA19" i="19" s="1"/>
  <c r="B21" i="19"/>
  <c r="AA44" i="42" l="1"/>
  <c r="K20" i="42"/>
  <c r="AE44" i="42" s="1"/>
  <c r="AG24" i="42"/>
  <c r="AA19" i="42"/>
  <c r="AG25" i="42"/>
  <c r="AH20" i="42"/>
  <c r="AG26" i="42"/>
  <c r="AG23" i="42"/>
  <c r="AG20" i="42" s="1"/>
  <c r="AG25" i="40"/>
  <c r="AG23" i="40"/>
  <c r="AG26" i="40"/>
  <c r="AH20" i="40"/>
  <c r="AG24" i="40"/>
  <c r="AG20" i="40" s="1"/>
  <c r="AA19" i="40"/>
  <c r="R11" i="40"/>
  <c r="B21" i="40" s="1"/>
  <c r="AA44" i="40"/>
  <c r="K20" i="40"/>
  <c r="AE44" i="40" s="1"/>
  <c r="AG25" i="39"/>
  <c r="AH20" i="39"/>
  <c r="AG26" i="39"/>
  <c r="AG23" i="39"/>
  <c r="AG24" i="39"/>
  <c r="AG20" i="39" s="1"/>
  <c r="AA19" i="39"/>
  <c r="R11" i="39"/>
  <c r="B21" i="39" s="1"/>
  <c r="AA44" i="39"/>
  <c r="K20" i="39"/>
  <c r="AE44" i="39" s="1"/>
  <c r="AG26" i="38"/>
  <c r="AH20" i="38"/>
  <c r="AG23" i="38"/>
  <c r="AG25" i="38"/>
  <c r="AG24" i="38"/>
  <c r="AA19" i="38"/>
  <c r="R11" i="38"/>
  <c r="AA44" i="38"/>
  <c r="K20" i="38"/>
  <c r="AE44" i="38" s="1"/>
  <c r="B1" i="35"/>
  <c r="B1" i="36"/>
  <c r="AG23" i="36"/>
  <c r="AH20" i="36"/>
  <c r="AA19" i="36"/>
  <c r="AG26" i="36"/>
  <c r="AG25" i="36"/>
  <c r="AG24" i="36"/>
  <c r="AA44" i="36"/>
  <c r="R11" i="36"/>
  <c r="K20" i="36"/>
  <c r="AE44" i="36" s="1"/>
  <c r="AA44" i="35"/>
  <c r="R11" i="35"/>
  <c r="B21" i="35" s="1"/>
  <c r="K20" i="35"/>
  <c r="AE44" i="35" s="1"/>
  <c r="AG24" i="35"/>
  <c r="AH20" i="35"/>
  <c r="AA19" i="35"/>
  <c r="AG26" i="35"/>
  <c r="AG25" i="35"/>
  <c r="AG23" i="35"/>
  <c r="B1" i="33"/>
  <c r="B1" i="34"/>
  <c r="AA44" i="34"/>
  <c r="K20" i="34"/>
  <c r="AE44" i="34" s="1"/>
  <c r="AG26" i="34"/>
  <c r="AG25" i="34"/>
  <c r="AG24" i="34"/>
  <c r="AH20" i="34"/>
  <c r="AG23" i="34"/>
  <c r="AG20" i="34" s="1"/>
  <c r="AA19" i="34"/>
  <c r="AA44" i="33"/>
  <c r="K20" i="33"/>
  <c r="AE44" i="33" s="1"/>
  <c r="AG26" i="33"/>
  <c r="AG25" i="33"/>
  <c r="AG24" i="33"/>
  <c r="AG23" i="33"/>
  <c r="AH20" i="33"/>
  <c r="AA19" i="33"/>
  <c r="G4" i="21"/>
  <c r="B1" i="25"/>
  <c r="B1" i="32"/>
  <c r="AC42" i="32"/>
  <c r="M21" i="32"/>
  <c r="AG42" i="32" s="1"/>
  <c r="AI24" i="32"/>
  <c r="AC17" i="32"/>
  <c r="AI23" i="32"/>
  <c r="AI22" i="32"/>
  <c r="AI21" i="32"/>
  <c r="AJ18" i="32"/>
  <c r="R11" i="28"/>
  <c r="B21" i="28" s="1"/>
  <c r="B1" i="27"/>
  <c r="B1" i="31"/>
  <c r="C1" i="21"/>
  <c r="B1" i="19"/>
  <c r="B1" i="23"/>
  <c r="C1" i="3"/>
  <c r="B1" i="24"/>
  <c r="B1" i="26"/>
  <c r="B1" i="29"/>
  <c r="B1" i="28"/>
  <c r="AC42" i="31"/>
  <c r="AC41" i="31" s="1"/>
  <c r="M21" i="31"/>
  <c r="AG42" i="31" s="1"/>
  <c r="AI24" i="31"/>
  <c r="AI23" i="31"/>
  <c r="AI22" i="31"/>
  <c r="AC17" i="31"/>
  <c r="AI21" i="31"/>
  <c r="AJ18" i="31"/>
  <c r="AG23" i="29"/>
  <c r="AH20" i="29"/>
  <c r="AA19" i="29"/>
  <c r="AG26" i="29"/>
  <c r="AG25" i="29"/>
  <c r="AG24" i="29"/>
  <c r="AA44" i="29"/>
  <c r="K20" i="29"/>
  <c r="AE44" i="29" s="1"/>
  <c r="AA44" i="28"/>
  <c r="K20" i="28"/>
  <c r="AE44" i="28" s="1"/>
  <c r="AG26" i="28"/>
  <c r="AG25" i="28"/>
  <c r="AG24" i="28"/>
  <c r="AG23" i="28"/>
  <c r="AH20" i="28"/>
  <c r="AA19" i="28"/>
  <c r="AA44" i="27"/>
  <c r="K20" i="27"/>
  <c r="AE44" i="27" s="1"/>
  <c r="AG26" i="27"/>
  <c r="AG25" i="27"/>
  <c r="AG24" i="27"/>
  <c r="AG23" i="27"/>
  <c r="AH20" i="27"/>
  <c r="AA19" i="27"/>
  <c r="AA44" i="26"/>
  <c r="K20" i="26"/>
  <c r="AE44" i="26" s="1"/>
  <c r="AG25" i="26"/>
  <c r="AG24" i="26"/>
  <c r="AG23" i="26"/>
  <c r="AH20" i="26"/>
  <c r="AA19" i="26"/>
  <c r="AA44" i="25"/>
  <c r="AA43" i="25" s="1"/>
  <c r="K20" i="25"/>
  <c r="AE44" i="25" s="1"/>
  <c r="AG26" i="25"/>
  <c r="AG25" i="25"/>
  <c r="AG24" i="25"/>
  <c r="AG23" i="25"/>
  <c r="AH20" i="25"/>
  <c r="AA19" i="25"/>
  <c r="AA44" i="24"/>
  <c r="K20" i="24"/>
  <c r="AE44" i="24" s="1"/>
  <c r="AG26" i="24"/>
  <c r="AG25" i="24"/>
  <c r="AG24" i="24"/>
  <c r="AG23" i="24"/>
  <c r="AH20" i="24"/>
  <c r="AA19" i="24"/>
  <c r="AA44" i="23"/>
  <c r="AA43" i="23" s="1"/>
  <c r="K20" i="23"/>
  <c r="AE44" i="23" s="1"/>
  <c r="AG26" i="23"/>
  <c r="AG25" i="23"/>
  <c r="AG24" i="23"/>
  <c r="AG23" i="23"/>
  <c r="AH20" i="23"/>
  <c r="AA19" i="23"/>
  <c r="AH20" i="19"/>
  <c r="K20" i="19"/>
  <c r="AE44" i="19" s="1"/>
  <c r="AA44" i="19"/>
  <c r="AE19" i="42" l="1"/>
  <c r="C21" i="42" s="1"/>
  <c r="AG48" i="42"/>
  <c r="AG49" i="42"/>
  <c r="AH44" i="42"/>
  <c r="AG50" i="42"/>
  <c r="AG47" i="42"/>
  <c r="AG44" i="42" s="1"/>
  <c r="AG48" i="40"/>
  <c r="AG44" i="40" s="1"/>
  <c r="AA43" i="40"/>
  <c r="AG49" i="40"/>
  <c r="AH44" i="40"/>
  <c r="AG50" i="40"/>
  <c r="AG47" i="40"/>
  <c r="AE19" i="40"/>
  <c r="C21" i="40" s="1"/>
  <c r="AG48" i="39"/>
  <c r="AG44" i="39" s="1"/>
  <c r="AG49" i="39"/>
  <c r="AH44" i="39"/>
  <c r="AA43" i="39"/>
  <c r="AG50" i="39"/>
  <c r="AG47" i="39"/>
  <c r="AE19" i="39"/>
  <c r="C21" i="39" s="1"/>
  <c r="AG20" i="38"/>
  <c r="AE19" i="38" s="1"/>
  <c r="C21" i="38" s="1"/>
  <c r="AG48" i="38"/>
  <c r="AG44" i="38" s="1"/>
  <c r="AG49" i="38"/>
  <c r="AH44" i="38"/>
  <c r="AG47" i="38"/>
  <c r="AG50" i="38"/>
  <c r="AA43" i="38"/>
  <c r="AG20" i="36"/>
  <c r="AE19" i="36" s="1"/>
  <c r="C21" i="36" s="1"/>
  <c r="AG49" i="36"/>
  <c r="AG47" i="36"/>
  <c r="AG50" i="36"/>
  <c r="AG48" i="36"/>
  <c r="AH44" i="36"/>
  <c r="AA43" i="36"/>
  <c r="AG20" i="35"/>
  <c r="AE19" i="35" s="1"/>
  <c r="C21" i="35" s="1"/>
  <c r="AG48" i="35"/>
  <c r="AH44" i="35"/>
  <c r="AG50" i="35"/>
  <c r="AG47" i="35"/>
  <c r="AG49" i="35"/>
  <c r="AA43" i="35"/>
  <c r="AE19" i="34"/>
  <c r="C21" i="34" s="1"/>
  <c r="AG49" i="34"/>
  <c r="AG47" i="34"/>
  <c r="AG44" i="34" s="1"/>
  <c r="AG50" i="34"/>
  <c r="AG48" i="34"/>
  <c r="AH44" i="34"/>
  <c r="AG20" i="33"/>
  <c r="AE19" i="33" s="1"/>
  <c r="C21" i="33" s="1"/>
  <c r="AG49" i="33"/>
  <c r="AG47" i="33"/>
  <c r="AG44" i="33" s="1"/>
  <c r="AG50" i="33"/>
  <c r="AG48" i="33"/>
  <c r="AH44" i="33"/>
  <c r="AI18" i="32"/>
  <c r="AG17" i="32" s="1"/>
  <c r="C23" i="32" s="1"/>
  <c r="AI48" i="32"/>
  <c r="AI46" i="32"/>
  <c r="AI45" i="32"/>
  <c r="AI47" i="32"/>
  <c r="AJ42" i="32"/>
  <c r="AG20" i="23"/>
  <c r="AE19" i="23" s="1"/>
  <c r="C21" i="23" s="1"/>
  <c r="AG20" i="24"/>
  <c r="AE19" i="24" s="1"/>
  <c r="C21" i="24" s="1"/>
  <c r="AG20" i="25"/>
  <c r="AE19" i="25" s="1"/>
  <c r="C21" i="25" s="1"/>
  <c r="AG20" i="27"/>
  <c r="AE19" i="27" s="1"/>
  <c r="C21" i="27" s="1"/>
  <c r="AG20" i="29"/>
  <c r="AE19" i="29" s="1"/>
  <c r="C21" i="29" s="1"/>
  <c r="AI18" i="31"/>
  <c r="AG17" i="31" s="1"/>
  <c r="C23" i="31" s="1"/>
  <c r="AG20" i="28"/>
  <c r="AE19" i="28" s="1"/>
  <c r="C21" i="28" s="1"/>
  <c r="AI45" i="31"/>
  <c r="AJ42" i="31"/>
  <c r="AI48" i="31"/>
  <c r="AI47" i="31"/>
  <c r="AI46" i="31"/>
  <c r="AG49" i="29"/>
  <c r="AG47" i="29"/>
  <c r="AG50" i="29"/>
  <c r="AG48" i="29"/>
  <c r="AH44" i="29"/>
  <c r="AA43" i="29"/>
  <c r="AG47" i="28"/>
  <c r="AG48" i="28"/>
  <c r="AA43" i="28"/>
  <c r="AG49" i="27"/>
  <c r="AG47" i="27"/>
  <c r="AG50" i="27"/>
  <c r="AG48" i="27"/>
  <c r="AH44" i="27"/>
  <c r="AA43" i="27"/>
  <c r="AG47" i="26"/>
  <c r="AA43" i="26"/>
  <c r="AG48" i="26"/>
  <c r="AG49" i="25"/>
  <c r="AG47" i="25"/>
  <c r="AH44" i="25"/>
  <c r="AG50" i="25"/>
  <c r="AG48" i="25"/>
  <c r="AG49" i="24"/>
  <c r="AG47" i="24"/>
  <c r="AH44" i="24"/>
  <c r="AG50" i="24"/>
  <c r="AG48" i="24"/>
  <c r="AG49" i="23"/>
  <c r="AH44" i="23"/>
  <c r="AG50" i="23"/>
  <c r="AG48" i="23"/>
  <c r="AG50" i="19"/>
  <c r="AG49" i="19"/>
  <c r="AH44" i="19"/>
  <c r="AG48" i="19"/>
  <c r="AE43" i="40" l="1"/>
  <c r="AE43" i="39"/>
  <c r="AI42" i="32"/>
  <c r="AE43" i="38"/>
  <c r="AG44" i="36"/>
  <c r="AE43" i="36" s="1"/>
  <c r="AG44" i="35"/>
  <c r="AE43" i="35" s="1"/>
  <c r="AI42" i="31"/>
  <c r="AG41" i="31" s="1"/>
  <c r="AG44" i="24"/>
  <c r="AG44" i="29"/>
  <c r="AE43" i="29" s="1"/>
  <c r="AG44" i="27"/>
  <c r="AE43" i="27" s="1"/>
  <c r="AG44" i="25"/>
  <c r="AE43" i="25" s="1"/>
  <c r="AE23" i="19"/>
  <c r="AF23" i="19" s="1"/>
  <c r="AG23" i="19" s="1"/>
  <c r="AC24" i="19"/>
  <c r="AE24" i="19" l="1"/>
  <c r="AF24" i="19" s="1"/>
  <c r="AC25" i="19"/>
  <c r="AC26" i="19" s="1"/>
  <c r="AG24" i="19"/>
  <c r="AE26" i="19" l="1"/>
  <c r="AF26" i="19" s="1"/>
  <c r="AG26" i="19"/>
  <c r="AG20" i="19" s="1"/>
  <c r="AE19" i="19" s="1"/>
  <c r="C21" i="19" s="1"/>
  <c r="AE25" i="19"/>
  <c r="AF25" i="19" s="1"/>
  <c r="AG25" i="19"/>
  <c r="AC16" i="26" l="1"/>
  <c r="AB26" i="26" l="1"/>
  <c r="AF26" i="26" s="1"/>
  <c r="AG26" i="26"/>
  <c r="AG20" i="26" s="1"/>
  <c r="AE19" i="26" s="1"/>
  <c r="C21" i="26" s="1"/>
  <c r="AB47" i="19"/>
  <c r="AF47" i="19" s="1"/>
  <c r="AG47" i="19" s="1"/>
  <c r="AG44" i="19" s="1"/>
  <c r="AB47" i="23"/>
  <c r="AF47" i="23" s="1"/>
  <c r="AG47" i="23" s="1"/>
  <c r="AG44" i="23" s="1"/>
  <c r="AE43" i="23" s="1"/>
  <c r="AA49" i="28"/>
  <c r="AB49" i="28" s="1"/>
  <c r="AF49" i="28" s="1"/>
  <c r="AG49" i="28" l="1"/>
  <c r="Z50" i="28"/>
  <c r="AH44" i="28" l="1"/>
  <c r="AG50" i="28"/>
  <c r="AG44" i="28" s="1"/>
  <c r="AB50" i="28"/>
  <c r="AF50" i="28" s="1"/>
  <c r="AE43" i="28" l="1"/>
  <c r="AG49" i="26"/>
  <c r="AB49" i="26"/>
  <c r="AF49" i="26" s="1"/>
  <c r="Z50" i="26"/>
  <c r="AG50" i="26" l="1"/>
  <c r="AG44" i="26" s="1"/>
  <c r="AH44" i="26"/>
  <c r="AB50" i="26"/>
  <c r="AF50" i="26" s="1"/>
  <c r="AE43"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Z22" authorId="0" shapeId="0" xr:uid="{9AB85B89-DCBE-494D-974F-A6273222AEDF}">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72ABCD47-385F-4183-B034-B1A938E04E2E}">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DE25F394-92FA-4EE3-84B0-66DB9A1C701A}">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D68CE4BC-CEB1-4047-BD5D-0586F676E09D}">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8C7B1CE6-1F52-471A-8553-932ECDEF078C}">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Z22" authorId="0" shapeId="0" xr:uid="{00000000-0006-0000-0800-000001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00000000-0006-0000-0800-000002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00000000-0006-0000-0800-000003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00000000-0006-0000-0800-000004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00000000-0006-0000-0800-000005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U7" authorId="0" shapeId="0" xr:uid="{00000000-0006-0000-0900-000001000000}">
      <text>
        <r>
          <rPr>
            <b/>
            <sz val="8"/>
            <color indexed="81"/>
            <rFont val="Tahoma"/>
            <family val="2"/>
          </rPr>
          <t xml:space="preserve">Place EW in CELL J7. 
</t>
        </r>
      </text>
    </comment>
    <comment ref="Z22" authorId="0" shapeId="0" xr:uid="{00000000-0006-0000-0900-000002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00000000-0006-0000-0900-000003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00000000-0006-0000-0900-000004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00000000-0006-0000-0900-000005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00000000-0006-0000-0900-000006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U7" authorId="0" shapeId="0" xr:uid="{00000000-0006-0000-0C00-000001000000}">
      <text>
        <r>
          <rPr>
            <b/>
            <sz val="8"/>
            <color indexed="81"/>
            <rFont val="Tahoma"/>
            <family val="2"/>
          </rPr>
          <t xml:space="preserve">Place EW in CELL J7. 
</t>
        </r>
      </text>
    </comment>
    <comment ref="Z22" authorId="0" shapeId="0" xr:uid="{00000000-0006-0000-0C00-000002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00000000-0006-0000-0C00-000003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00000000-0006-0000-0C00-000004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00000000-0006-0000-0C00-000005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00000000-0006-0000-0C00-000006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U7" authorId="0" shapeId="0" xr:uid="{BA541DED-DE24-477C-AF36-B64D3B2C0E70}">
      <text>
        <r>
          <rPr>
            <b/>
            <sz val="8"/>
            <color indexed="81"/>
            <rFont val="Tahoma"/>
            <family val="2"/>
          </rPr>
          <t xml:space="preserve">Place EW in CELL J7. 
</t>
        </r>
      </text>
    </comment>
    <comment ref="Z22" authorId="0" shapeId="0" xr:uid="{F0F70E52-882F-493A-BA30-BF1B60781608}">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5DA51AF8-289C-438B-A21D-CF2064001CE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4199309D-32F6-4C07-9DEF-41F1E7416403}">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22E4F38A-3851-471E-8C88-4C9674E7784B}">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185782C9-9C95-49C2-BECE-F06D86505B82}">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U7" authorId="0" shapeId="0" xr:uid="{00000000-0006-0000-0A00-000001000000}">
      <text>
        <r>
          <rPr>
            <b/>
            <sz val="8"/>
            <color indexed="81"/>
            <rFont val="Tahoma"/>
            <family val="2"/>
          </rPr>
          <t xml:space="preserve">Place EW in CELL J7. 
</t>
        </r>
      </text>
    </comment>
    <comment ref="Z22" authorId="0" shapeId="0" xr:uid="{00000000-0006-0000-0A00-000002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00000000-0006-0000-0A00-000003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00000000-0006-0000-0A00-000004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00000000-0006-0000-0A00-000005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00000000-0006-0000-0A00-000006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U7" authorId="0" shapeId="0" xr:uid="{DA4B1487-3878-46E9-A377-4FB3A83CB776}">
      <text>
        <r>
          <rPr>
            <b/>
            <sz val="8"/>
            <color indexed="81"/>
            <rFont val="Tahoma"/>
            <family val="2"/>
          </rPr>
          <t xml:space="preserve">Place EW in CELL J7. 
</t>
        </r>
      </text>
    </comment>
    <comment ref="Z22" authorId="0" shapeId="0" xr:uid="{AC204250-E4C8-4398-8E46-51201E967BDD}">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4D03960B-F3F0-4DFC-9132-5A36B6ECB16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12A53065-A500-4A87-8A2B-C1488F1C115F}">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181629C0-A931-4229-B02E-9FFF7CA38204}">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97B1A503-B99B-4B34-8899-EA5D4996A8C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U7" authorId="0" shapeId="0" xr:uid="{00000000-0006-0000-0D00-000001000000}">
      <text>
        <r>
          <rPr>
            <b/>
            <sz val="8"/>
            <color indexed="81"/>
            <rFont val="Tahoma"/>
            <family val="2"/>
          </rPr>
          <t xml:space="preserve">Place EW in CELL J7. 
</t>
        </r>
      </text>
    </comment>
    <comment ref="Z22" authorId="0" shapeId="0" xr:uid="{00000000-0006-0000-0D00-000002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00000000-0006-0000-0D00-000003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00000000-0006-0000-0D00-000004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00000000-0006-0000-0D00-000005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00000000-0006-0000-0D00-000006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AB20" authorId="0" shapeId="0" xr:uid="{00000000-0006-0000-0E00-000001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C20" authorId="0" shapeId="0" xr:uid="{00000000-0006-0000-0E00-000002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E20" authorId="0" shapeId="0" xr:uid="{00000000-0006-0000-0E00-000003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F20" authorId="0" shapeId="0" xr:uid="{00000000-0006-0000-0E00-000004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J20" authorId="0" shapeId="0" xr:uid="{00000000-0006-0000-0E00-000005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AB20" authorId="0" shapeId="0" xr:uid="{00000000-0006-0000-0F00-000001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C20" authorId="0" shapeId="0" xr:uid="{00000000-0006-0000-0F00-000002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E20" authorId="0" shapeId="0" xr:uid="{00000000-0006-0000-0F00-000003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F20" authorId="0" shapeId="0" xr:uid="{00000000-0006-0000-0F00-000004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J20" authorId="0" shapeId="0" xr:uid="{00000000-0006-0000-0F00-000005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U7" authorId="0" shapeId="0" xr:uid="{9B10F997-A0F2-4DB1-A5BD-CDA66F5CF3CF}">
      <text>
        <r>
          <rPr>
            <b/>
            <sz val="8"/>
            <color indexed="81"/>
            <rFont val="Tahoma"/>
            <family val="2"/>
          </rPr>
          <t xml:space="preserve">Place EW in CELL J7. 
</t>
        </r>
      </text>
    </comment>
    <comment ref="Z22" authorId="0" shapeId="0" xr:uid="{00000000-0006-0000-0200-000001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00000000-0006-0000-0200-000002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00000000-0006-0000-0200-000003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00000000-0006-0000-0200-000004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00000000-0006-0000-0200-000005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Z22" authorId="0" shapeId="0" xr:uid="{00000000-0006-0000-0300-000001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00000000-0006-0000-0300-000002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00000000-0006-0000-0300-000003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00000000-0006-0000-0300-000004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00000000-0006-0000-0300-000005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U7" authorId="0" shapeId="0" xr:uid="{00000000-0006-0000-0400-000001000000}">
      <text>
        <r>
          <rPr>
            <b/>
            <sz val="8"/>
            <color indexed="81"/>
            <rFont val="Tahoma"/>
            <family val="2"/>
          </rPr>
          <t xml:space="preserve">Place EW in CELL J7. 
</t>
        </r>
      </text>
    </comment>
    <comment ref="Z22" authorId="0" shapeId="0" xr:uid="{00000000-0006-0000-0400-000002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00000000-0006-0000-0400-000003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00000000-0006-0000-0400-000004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00000000-0006-0000-0400-000005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00000000-0006-0000-0400-000006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U7" authorId="0" shapeId="0" xr:uid="{00000000-0006-0000-0600-000001000000}">
      <text>
        <r>
          <rPr>
            <b/>
            <sz val="8"/>
            <color indexed="81"/>
            <rFont val="Tahoma"/>
            <family val="2"/>
          </rPr>
          <t xml:space="preserve">Place EW in CELL J7. 
</t>
        </r>
      </text>
    </comment>
    <comment ref="Z22" authorId="0" shapeId="0" xr:uid="{00000000-0006-0000-0600-000002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00000000-0006-0000-0600-000003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00000000-0006-0000-0600-000004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00000000-0006-0000-0600-000005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00000000-0006-0000-0600-000006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U7" authorId="0" shapeId="0" xr:uid="{00000000-0006-0000-0500-000001000000}">
      <text>
        <r>
          <rPr>
            <b/>
            <sz val="8"/>
            <color indexed="81"/>
            <rFont val="Tahoma"/>
            <family val="2"/>
          </rPr>
          <t xml:space="preserve">Place EW in CELL J7. 
</t>
        </r>
      </text>
    </comment>
    <comment ref="Z22" authorId="0" shapeId="0" xr:uid="{00000000-0006-0000-0500-000002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00000000-0006-0000-0500-000003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00000000-0006-0000-0500-000004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00000000-0006-0000-0500-000005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00000000-0006-0000-0500-000006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U7" authorId="0" shapeId="0" xr:uid="{00000000-0006-0000-0B00-000001000000}">
      <text>
        <r>
          <rPr>
            <b/>
            <sz val="8"/>
            <color indexed="81"/>
            <rFont val="Tahoma"/>
            <family val="2"/>
          </rPr>
          <t xml:space="preserve">Place EW in CELL J7. 
</t>
        </r>
      </text>
    </comment>
    <comment ref="Z22" authorId="0" shapeId="0" xr:uid="{00000000-0006-0000-0B00-000002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00000000-0006-0000-0B00-000003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00000000-0006-0000-0B00-000004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00000000-0006-0000-0B00-000005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00000000-0006-0000-0B00-000006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U7" authorId="0" shapeId="0" xr:uid="{00000000-0006-0000-0700-000001000000}">
      <text>
        <r>
          <rPr>
            <b/>
            <sz val="8"/>
            <color indexed="81"/>
            <rFont val="Tahoma"/>
            <family val="2"/>
          </rPr>
          <t xml:space="preserve">Place EW in CELL J7. 
</t>
        </r>
      </text>
    </comment>
    <comment ref="Z22" authorId="0" shapeId="0" xr:uid="{00000000-0006-0000-0700-000002000000}">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00000000-0006-0000-0700-000003000000}">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00000000-0006-0000-0700-000004000000}">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00000000-0006-0000-0700-000005000000}">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00000000-0006-0000-0700-000006000000}">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wrsmith</author>
  </authors>
  <commentList>
    <comment ref="U7" authorId="0" shapeId="0" xr:uid="{CFA3DABF-AC69-4884-86AE-70FBF82F1B15}">
      <text>
        <r>
          <rPr>
            <b/>
            <sz val="8"/>
            <color indexed="81"/>
            <rFont val="Tahoma"/>
            <family val="2"/>
          </rPr>
          <t xml:space="preserve">Place EW in CELL J7. 
</t>
        </r>
      </text>
    </comment>
    <comment ref="Z22" authorId="0" shapeId="0" xr:uid="{886C1ECB-B3CF-49BB-8E5A-7FA275E7CF82}">
      <text>
        <r>
          <rPr>
            <b/>
            <sz val="8"/>
            <color indexed="81"/>
            <rFont val="Tahoma"/>
            <family val="2"/>
          </rPr>
          <t>---DEFINING THE ENVELOPE---
The 'from' and 'to' numbers represent the starting and end weights of each of the segments in the envelope.  These numbers will typically be built from the left side of the envelope, and will 'follow' the number of angles until the max weight is reached.</t>
        </r>
        <r>
          <rPr>
            <sz val="8"/>
            <color indexed="81"/>
            <rFont val="Tahoma"/>
            <family val="2"/>
          </rPr>
          <t xml:space="preserve">
</t>
        </r>
      </text>
    </comment>
    <comment ref="AA22" authorId="0" shapeId="0" xr:uid="{9B66F1AB-FFD1-41B5-9CDF-96D40CFE1949}">
      <text>
        <r>
          <rPr>
            <b/>
            <sz val="8"/>
            <color indexed="81"/>
            <rFont val="Tahoma"/>
            <family val="2"/>
          </rPr>
          <t xml:space="preserve">---DEFINING THE ENVELOPE---
The 'from' and 'to' numbers represent the starting and end weights of each of the segments in the envelope.  These numbers will typically be built from the left side of the envelope, and will 'follow' the number of angles until the max weight is reached.
</t>
        </r>
      </text>
    </comment>
    <comment ref="AC22" authorId="0" shapeId="0" xr:uid="{AA2F0988-7ED5-41C1-A600-A10944BDDDEE}">
      <text>
        <r>
          <rPr>
            <b/>
            <sz val="8"/>
            <color indexed="81"/>
            <rFont val="Tahoma"/>
            <family val="2"/>
          </rPr>
          <t xml:space="preserve">---DEFINING THE ENVELOPE---
Similar to the weight (at left).  The 'from' and 'to' number represent the beginning and the end of the segments as they define the envelope.  These number will typically be built from the left side of the envelope.
</t>
        </r>
      </text>
    </comment>
    <comment ref="AD22" authorId="0" shapeId="0" xr:uid="{A00A25D2-613C-43C0-A8AD-15AC3B8A3A1D}">
      <text>
        <r>
          <rPr>
            <b/>
            <sz val="8"/>
            <color indexed="81"/>
            <rFont val="Tahoma"/>
            <family val="2"/>
          </rPr>
          <t>---DEFINING THE ENVELOPE---
Similar to the weight (at left).  The 'from' and 'to' number represent the beginning and the end of the segments as they define the envelope.  These number will typically be built from the left side of the envelope.</t>
        </r>
      </text>
    </comment>
    <comment ref="AH22" authorId="0" shapeId="0" xr:uid="{043BCB97-7AE0-4AF5-AD49-702E60723DE1}">
      <text>
        <r>
          <rPr>
            <b/>
            <sz val="8"/>
            <color indexed="81"/>
            <rFont val="Tahoma"/>
            <family val="2"/>
          </rPr>
          <t>---DEFINING THE ENVELOPE---
Represents the right side of the envelope.  Typically it will be a straight line and so the 'to' numbers are filled in automatically.  This number comes from right side of the envelope</t>
        </r>
      </text>
    </comment>
  </commentList>
</comments>
</file>

<file path=xl/sharedStrings.xml><?xml version="1.0" encoding="utf-8"?>
<sst xmlns="http://schemas.openxmlformats.org/spreadsheetml/2006/main" count="3907" uniqueCount="309">
  <si>
    <t>Station</t>
  </si>
  <si>
    <t>Weight</t>
  </si>
  <si>
    <t>Arm</t>
  </si>
  <si>
    <t>Notes</t>
  </si>
  <si>
    <t>Empty Weight</t>
  </si>
  <si>
    <t xml:space="preserve"> </t>
  </si>
  <si>
    <t>Ramp Weight</t>
  </si>
  <si>
    <t>Takeoff Weight</t>
  </si>
  <si>
    <t>CG Location</t>
  </si>
  <si>
    <t>CG = Total Moment / Total Weight</t>
  </si>
  <si>
    <t xml:space="preserve">     Useable Fuel</t>
  </si>
  <si>
    <t xml:space="preserve">     Front Seats</t>
  </si>
  <si>
    <t xml:space="preserve">     Rear Seats</t>
  </si>
  <si>
    <t xml:space="preserve">     Baggage 1</t>
  </si>
  <si>
    <t xml:space="preserve">     Baggage 2</t>
  </si>
  <si>
    <t xml:space="preserve">     Fuel Usage</t>
  </si>
  <si>
    <t>Allowance for start, taxi, run-up.</t>
  </si>
  <si>
    <t xml:space="preserve">     Baggage 3</t>
  </si>
  <si>
    <t xml:space="preserve">     Row 2</t>
  </si>
  <si>
    <t xml:space="preserve">     Row 3</t>
  </si>
  <si>
    <t xml:space="preserve">     Row 4</t>
  </si>
  <si>
    <t xml:space="preserve">     Baggage Shelf</t>
  </si>
  <si>
    <t xml:space="preserve">    Aft Baggage Bin</t>
  </si>
  <si>
    <t xml:space="preserve">     Fuel for Trip</t>
  </si>
  <si>
    <t>Landing Weight</t>
  </si>
  <si>
    <t>Baggage 1</t>
  </si>
  <si>
    <t>Baggage 2</t>
  </si>
  <si>
    <t>Max Ramp Wt</t>
  </si>
  <si>
    <t>Baggage 3</t>
  </si>
  <si>
    <t>Baggage 1+2+3</t>
  </si>
  <si>
    <t>Baggage 1+2</t>
  </si>
  <si>
    <t>CABIN LOADING</t>
  </si>
  <si>
    <t>Front Seats</t>
  </si>
  <si>
    <t>Rear Seats</t>
  </si>
  <si>
    <t>Fuel used for Flight</t>
  </si>
  <si>
    <t>USG used per hour</t>
  </si>
  <si>
    <t>USG</t>
  </si>
  <si>
    <t>Max Landing Wt</t>
  </si>
  <si>
    <t>Baggage Shelf</t>
  </si>
  <si>
    <t>Aft Baggage Bin</t>
  </si>
  <si>
    <t>CG</t>
  </si>
  <si>
    <t>FROM</t>
  </si>
  <si>
    <t>TO</t>
  </si>
  <si>
    <t>DELTA</t>
  </si>
  <si>
    <t>Delta</t>
  </si>
  <si>
    <t>Incr/LB</t>
  </si>
  <si>
    <t>USE</t>
  </si>
  <si>
    <t>T</t>
  </si>
  <si>
    <t>A</t>
  </si>
  <si>
    <t>K</t>
  </si>
  <si>
    <t>E</t>
  </si>
  <si>
    <t>O</t>
  </si>
  <si>
    <t>F</t>
  </si>
  <si>
    <t>L</t>
  </si>
  <si>
    <t>N</t>
  </si>
  <si>
    <t>D</t>
  </si>
  <si>
    <t>I</t>
  </si>
  <si>
    <t>G</t>
  </si>
  <si>
    <t>Revision</t>
  </si>
  <si>
    <t>Date</t>
  </si>
  <si>
    <t>Worksheet History</t>
  </si>
  <si>
    <t>For Graph:</t>
  </si>
  <si>
    <t>Cabin</t>
  </si>
  <si>
    <t>Fuel</t>
  </si>
  <si>
    <t>Data entered by Pilot</t>
  </si>
  <si>
    <t>CG = Total Moment / Total Weight - Landing</t>
  </si>
  <si>
    <t>---------CG LINES----------</t>
  </si>
  <si>
    <t>---------WEIGHT-----------</t>
  </si>
  <si>
    <t>"From"</t>
  </si>
  <si>
    <t>"TO"</t>
  </si>
  <si>
    <t>Bag 3 (shelf)</t>
  </si>
  <si>
    <t>Baggage 2+3</t>
  </si>
  <si>
    <t>Flight Time</t>
  </si>
  <si>
    <t>Fuel Consumed During Trip</t>
  </si>
  <si>
    <t>Max Gross Wt (Takeoff)</t>
  </si>
  <si>
    <t>"TABS" FUEL  Gals</t>
  </si>
  <si>
    <t>Useful Load (filled to TABS)</t>
  </si>
  <si>
    <t>Useful Load (ZERO FUEL)</t>
  </si>
  <si>
    <t>Useful Load (FULL FUEL)</t>
  </si>
  <si>
    <t>LOADING SUMMARY</t>
  </si>
  <si>
    <t>NOTE:</t>
  </si>
  <si>
    <t>yellow</t>
  </si>
  <si>
    <t>orange</t>
  </si>
  <si>
    <t>red</t>
  </si>
  <si>
    <t>Row 2 Seats</t>
  </si>
  <si>
    <t>Row 3 Seats</t>
  </si>
  <si>
    <t>Row 4 Seats</t>
  </si>
  <si>
    <t>Moment</t>
  </si>
  <si>
    <t>Useable Fuel On Board</t>
  </si>
  <si>
    <t>PILOT - seat should be occupied</t>
  </si>
  <si>
    <t>FUEL - Less than1 Hour Reserve</t>
  </si>
  <si>
    <t>FLIGHT TIME w/ 0 RESERVE</t>
  </si>
  <si>
    <t>CABIN - some seats occupied</t>
  </si>
  <si>
    <t xml:space="preserve">This spreadsheet is for reference only.  You should always perform your own weight and balance and fuel calculations using the POH before every flight.  </t>
  </si>
  <si>
    <t>FUEL - Using more than loaded</t>
  </si>
  <si>
    <t>FLIGHT Time w/ 1-HR RESERVE</t>
  </si>
  <si>
    <t>Release #</t>
  </si>
  <si>
    <t>Moment/1000</t>
  </si>
  <si>
    <t>Change only the green</t>
  </si>
  <si>
    <t>cells</t>
  </si>
  <si>
    <t>Expiration date if used:</t>
  </si>
  <si>
    <t>Last updated:</t>
  </si>
  <si>
    <t>expired</t>
  </si>
  <si>
    <t>status_msg</t>
  </si>
  <si>
    <t xml:space="preserve">                Remarks                         </t>
  </si>
  <si>
    <t>exp_warn</t>
  </si>
  <si>
    <t>green</t>
  </si>
  <si>
    <t>FLIGHT TIME . . . . .</t>
  </si>
  <si>
    <t>GPH</t>
  </si>
  <si>
    <t>HRS</t>
  </si>
  <si>
    <t>FUEL - Loaded, GPH or Flt Time = 0</t>
  </si>
  <si>
    <t>FUEL -     Fuel On Board</t>
  </si>
  <si>
    <t>FUEL -     FLIGHT TIME</t>
  </si>
  <si>
    <t>FUEL -     GPH Used Per Hour</t>
  </si>
  <si>
    <t>release_nbr</t>
  </si>
  <si>
    <t>release_date</t>
  </si>
  <si>
    <t>= similar to a yellow, but higher emphasis</t>
  </si>
  <si>
    <t>defined names (in red)</t>
  </si>
  <si>
    <t>LBS</t>
  </si>
  <si>
    <t>Flight Time Calculations</t>
  </si>
  <si>
    <t>Basic Wt &amp; Bal Data</t>
  </si>
  <si>
    <t>Time</t>
  </si>
  <si>
    <t>DATA INPUT CELLS -</t>
  </si>
  <si>
    <t>= CRITICAL MESSAGE. (a limit or max has been violated,</t>
  </si>
  <si>
    <t xml:space="preserve">      e: out of CG or overweight)</t>
  </si>
  <si>
    <t xml:space="preserve">        MESSAGES -</t>
  </si>
  <si>
    <t>Weight Onboard incl Taxi</t>
  </si>
  <si>
    <r>
      <t xml:space="preserve">Useful Load </t>
    </r>
    <r>
      <rPr>
        <sz val="9"/>
        <rFont val="Arial"/>
        <family val="2"/>
      </rPr>
      <t>+</t>
    </r>
    <r>
      <rPr>
        <sz val="8"/>
        <rFont val="Arial"/>
        <family val="2"/>
      </rPr>
      <t xml:space="preserve"> Taxi Fuel</t>
    </r>
  </si>
  <si>
    <t xml:space="preserve">= 'warning' message or 'take notice' message </t>
  </si>
  <si>
    <t>CAP 1259</t>
  </si>
  <si>
    <t>Sortie No:</t>
  </si>
  <si>
    <t>Date:</t>
  </si>
  <si>
    <t>MESSAGES</t>
  </si>
  <si>
    <t>N99040</t>
  </si>
  <si>
    <t>(230hp C182R)  Long Range Tanks</t>
  </si>
  <si>
    <t>N323KW</t>
  </si>
  <si>
    <t>N738CP</t>
  </si>
  <si>
    <t>Mission Symbol &amp; No:</t>
  </si>
  <si>
    <t>.</t>
  </si>
  <si>
    <t>FUEL USED for Flight</t>
  </si>
  <si>
    <t>Useable Fuel          Gals</t>
  </si>
  <si>
    <t>CAP 1240</t>
  </si>
  <si>
    <t>CAP 1223</t>
  </si>
  <si>
    <t>CAP 1238</t>
  </si>
  <si>
    <t>CAP Call Sign</t>
  </si>
  <si>
    <t>N-Number</t>
  </si>
  <si>
    <t>Aircraft Type</t>
  </si>
  <si>
    <t>Empty Wt.</t>
  </si>
  <si>
    <t xml:space="preserve">      AIRCRAFT</t>
  </si>
  <si>
    <t>N470CP</t>
  </si>
  <si>
    <t>CAP 9970</t>
  </si>
  <si>
    <t>PASSENGER CONFIGURATION</t>
  </si>
  <si>
    <t>not used</t>
  </si>
  <si>
    <t>"Points"</t>
  </si>
  <si>
    <t>C.G.</t>
  </si>
  <si>
    <t>W</t>
  </si>
  <si>
    <t>H</t>
  </si>
  <si>
    <t>Always the same as the top number</t>
  </si>
  <si>
    <t>Fuel Data</t>
  </si>
  <si>
    <t>Cabin Loading Data</t>
  </si>
  <si>
    <t>WEIGHT CALCULATIONS</t>
  </si>
  <si>
    <t>I  N  C  H  E  S</t>
  </si>
  <si>
    <t>Creates the table below</t>
  </si>
  <si>
    <r>
      <rPr>
        <b/>
        <u/>
        <sz val="9"/>
        <color theme="0"/>
        <rFont val="Arial Black"/>
        <family val="2"/>
      </rPr>
      <t>TAKEOFF</t>
    </r>
    <r>
      <rPr>
        <sz val="9"/>
        <color theme="0"/>
        <rFont val="Arial Black"/>
        <family val="2"/>
      </rPr>
      <t xml:space="preserve"> WEIGHT &amp; C.G. "ENVELOPE PICTURES"</t>
    </r>
  </si>
  <si>
    <t xml:space="preserve">    Table built from 'envelope' above</t>
  </si>
  <si>
    <r>
      <rPr>
        <u/>
        <sz val="9"/>
        <color theme="0"/>
        <rFont val="Arial Black"/>
        <family val="2"/>
      </rPr>
      <t>LANDING</t>
    </r>
    <r>
      <rPr>
        <sz val="9"/>
        <color theme="0"/>
        <rFont val="Arial Black"/>
        <family val="2"/>
      </rPr>
      <t xml:space="preserve"> WEIGHT &amp; C.G. "ENVELOPE PICTURES"</t>
    </r>
  </si>
  <si>
    <t>---------&gt; Enter data on this side only!</t>
  </si>
  <si>
    <t>Always the same as the top right nbr.</t>
  </si>
  <si>
    <t>Max Gross Weight(Takeoff)</t>
  </si>
  <si>
    <t>Max Ramp Weight</t>
  </si>
  <si>
    <t>Max Landing Weight</t>
  </si>
  <si>
    <t>Max Landing Weightt (Yellow warning)</t>
  </si>
  <si>
    <t>Model, HP, Year, etc.</t>
  </si>
  <si>
    <t>CAP Flight</t>
  </si>
  <si>
    <t>Capacity (USG)</t>
  </si>
  <si>
    <t>Results Indicators</t>
  </si>
  <si>
    <t>automatic note created for W&amp;B sheet</t>
  </si>
  <si>
    <t>fixed text appears on W&amp;B sheet</t>
  </si>
  <si>
    <t>Airplane</t>
  </si>
  <si>
    <t>Notes on W&amp;B sheet</t>
  </si>
  <si>
    <t>(180hp C 172P)  Long Range Tanks</t>
  </si>
  <si>
    <t>(230hp C182T) Long Range Tanks</t>
  </si>
  <si>
    <t>(230hp C182Q) Long Range Tanks</t>
  </si>
  <si>
    <t>25-Feb-2011 Indianapolis Aviation</t>
  </si>
  <si>
    <t>Max Landing Weight (Yellow warning)</t>
  </si>
  <si>
    <t>(300HP Gipplsand GA8)</t>
  </si>
  <si>
    <t>Measured</t>
  </si>
  <si>
    <t>TABS</t>
  </si>
  <si>
    <t xml:space="preserve">     Std. FUEL description</t>
  </si>
  <si>
    <t>FULL</t>
  </si>
  <si>
    <t>&lt;---(TABS, Measured, or FULL )</t>
  </si>
  <si>
    <t>Start,Taxi,Runup usage Gals</t>
  </si>
  <si>
    <t xml:space="preserve">     Fuel Consumed During Trip</t>
  </si>
  <si>
    <t>CG Location Landing</t>
  </si>
  <si>
    <t>CG Location Takeoff</t>
  </si>
  <si>
    <t>Release ID#</t>
  </si>
  <si>
    <t>Release Date</t>
  </si>
  <si>
    <t>Information</t>
  </si>
  <si>
    <t>Warning FLAG</t>
  </si>
  <si>
    <t>is over x days old</t>
  </si>
  <si>
    <t>AGE</t>
  </si>
  <si>
    <t>EXPIRATION &amp;</t>
  </si>
  <si>
    <t>TERMINATION</t>
  </si>
  <si>
    <t>RELEASE</t>
  </si>
  <si>
    <t>ID Nbr, Date and</t>
  </si>
  <si>
    <t>Expiration Dates</t>
  </si>
  <si>
    <t>will expire in x days</t>
  </si>
  <si>
    <t>Warn that W&amp;B</t>
  </si>
  <si>
    <t>W&amp;B will Expire</t>
  </si>
  <si>
    <t>in x days.</t>
  </si>
  <si>
    <t>True = ON</t>
  </si>
  <si>
    <t>WARN when W&amp;B</t>
  </si>
  <si>
    <t>WARNING</t>
  </si>
  <si>
    <t>If near expiration-&gt;</t>
  </si>
  <si>
    <t>If expired--&gt;</t>
  </si>
  <si>
    <t>Age warning--&gt;</t>
  </si>
  <si>
    <t>Message that will be displayed --&gt;&gt;</t>
  </si>
  <si>
    <t>Expired FLAG</t>
  </si>
  <si>
    <t>Expire Soon FLAG</t>
  </si>
  <si>
    <r>
      <t xml:space="preserve">Useful Load </t>
    </r>
    <r>
      <rPr>
        <b/>
        <sz val="8"/>
        <color rgb="FFFF0000"/>
        <rFont val="Arial"/>
        <family val="2"/>
      </rPr>
      <t>(FULL FUEL)</t>
    </r>
  </si>
  <si>
    <r>
      <t xml:space="preserve">Useful Load </t>
    </r>
    <r>
      <rPr>
        <b/>
        <sz val="8"/>
        <color rgb="FFFF0000"/>
        <rFont val="Arial"/>
        <family val="2"/>
      </rPr>
      <t>(filled to TABS)</t>
    </r>
  </si>
  <si>
    <t>W/B: Yingling Aircraft 2/23/06</t>
  </si>
  <si>
    <r>
      <t xml:space="preserve">---------&gt; </t>
    </r>
    <r>
      <rPr>
        <b/>
        <sz val="10"/>
        <color theme="1"/>
        <rFont val="Arial"/>
        <family val="2"/>
      </rPr>
      <t>Enter data on this side only!</t>
    </r>
  </si>
  <si>
    <t>W/B: Stephen Duquette 17-Dec-2010</t>
  </si>
  <si>
    <t>Expiratation date recommended but not required.</t>
  </si>
  <si>
    <t>Do not make changes left of the red line.</t>
  </si>
  <si>
    <r>
      <rPr>
        <b/>
        <sz val="9"/>
        <color theme="0"/>
        <rFont val="Arial"/>
        <family val="2"/>
      </rPr>
      <t>Enter data in '</t>
    </r>
    <r>
      <rPr>
        <b/>
        <sz val="9"/>
        <color rgb="FF00FF00"/>
        <rFont val="Arial"/>
        <family val="2"/>
      </rPr>
      <t>GREEN</t>
    </r>
    <r>
      <rPr>
        <b/>
        <sz val="9"/>
        <color theme="0"/>
        <rFont val="Arial"/>
        <family val="2"/>
      </rPr>
      <t xml:space="preserve">' cells only!  </t>
    </r>
  </si>
  <si>
    <t>NOTES:</t>
  </si>
  <si>
    <t>no changes should be made left of that point.</t>
  </si>
  <si>
    <t>all 'text' that appears in the notes section of</t>
  </si>
  <si>
    <t>the W&amp;B are constructed.  Do not change</t>
  </si>
  <si>
    <t>any cell left of the "red line".  Make changes</t>
  </si>
  <si>
    <t>to GREEN cells only.</t>
  </si>
  <si>
    <t>N759PJ</t>
  </si>
  <si>
    <t>Weight of Seats if Removed</t>
  </si>
  <si>
    <t>Weight Each</t>
  </si>
  <si>
    <t>"Checkmark" removes seat</t>
  </si>
  <si>
    <t>Baggage</t>
  </si>
  <si>
    <t>Seats Remov'd</t>
  </si>
  <si>
    <t>Useable Fuel               Gals</t>
  </si>
  <si>
    <t>Std. FUEL amount       Gals</t>
  </si>
  <si>
    <t>W/B: 30-Mar-2010  Craig Rood -</t>
  </si>
  <si>
    <t xml:space="preserve">(180hp C 172P)  </t>
  </si>
  <si>
    <t>W/B: 29 JUN 14  Andrew Zeigh?</t>
  </si>
  <si>
    <t>CAUTION:</t>
  </si>
  <si>
    <t>Mar2013…data entry changed so that all</t>
  </si>
  <si>
    <t>numbers are entered "right of the red line".</t>
  </si>
  <si>
    <t>Days since last updt</t>
  </si>
  <si>
    <t>EXPIR. Date (opt.)</t>
  </si>
  <si>
    <t>Disclaimer appearing on each W&amp;B sheet:</t>
  </si>
  <si>
    <t>expire_date</t>
  </si>
  <si>
    <t>&lt;- old_ver</t>
  </si>
  <si>
    <t>INSERT LINE HERE ADD ADD LINES TO THE HISTORY. (Cols, B, C and D)</t>
  </si>
  <si>
    <t>This spreadsheet may contain unverified W&amp;B data and may not be accurate for this aircraft.  It should be used for illustrative purposes only.  The pilot is responsible for insuring that the aircraft is loaded in accordance with the aircraft’s POH before each flight.</t>
  </si>
  <si>
    <t>Use Caution not to disturb the calculation an on other than designated green cells.</t>
  </si>
  <si>
    <r>
      <t xml:space="preserve">Aircraft Selection </t>
    </r>
    <r>
      <rPr>
        <b/>
        <u/>
        <sz val="11"/>
        <rFont val="Arial"/>
        <family val="2"/>
      </rPr>
      <t>Estimator</t>
    </r>
  </si>
  <si>
    <t>Weight estimator only!  You must run an actual Weight and Balance worksheet on any aircraft selected.</t>
  </si>
  <si>
    <t>Please report any errors, or submit any questions you have about this worksheet to _______________________</t>
  </si>
  <si>
    <t>CAP 929</t>
  </si>
  <si>
    <t>N288CP</t>
  </si>
  <si>
    <t>CAP 9437</t>
  </si>
  <si>
    <t>N237CP</t>
  </si>
  <si>
    <t>CAP 920</t>
  </si>
  <si>
    <t>N426CP</t>
  </si>
  <si>
    <t>W&amp;B Expired, go to GAWG website for update</t>
  </si>
  <si>
    <t>R1</t>
  </si>
  <si>
    <t>KSAV Release ID:</t>
  </si>
  <si>
    <t xml:space="preserve">     GEORGIA WING</t>
  </si>
  <si>
    <t>xxxt</t>
  </si>
  <si>
    <t>CAP 926</t>
  </si>
  <si>
    <t>N380CV</t>
  </si>
  <si>
    <t>W/B: 17-MAY-16 Yingling Aircraft</t>
  </si>
  <si>
    <t>W/B: 16-JUN-2016 Yingling Aircraft</t>
  </si>
  <si>
    <t>N471CP</t>
  </si>
  <si>
    <t>CAP 941</t>
  </si>
  <si>
    <t>N9433L</t>
  </si>
  <si>
    <t>CAP 939</t>
  </si>
  <si>
    <t>N493CP</t>
  </si>
  <si>
    <t xml:space="preserve">W/B: </t>
  </si>
  <si>
    <t>CAP 923</t>
  </si>
  <si>
    <t>N990CP</t>
  </si>
  <si>
    <t xml:space="preserve">(180hp C 172S) </t>
  </si>
  <si>
    <t>ICAO Xpndr = SES...ICAO #10 = SBGZ/EB2...ICAO #18 = NAV/SBAS REG/N288CP CODE/A2EBF3</t>
  </si>
  <si>
    <t>ICAO Xpndr = SES...ICAO #10 = SBGZ/EB2...ICAO #18 = NAV/SBAS REG/N380CV CODE/A45B90</t>
  </si>
  <si>
    <t>ICAO Xpndr = SES...ICAO #10 = SBGZ/EB2...ICAO #18 = NAV/SBAS REG/N402CV CODE/A4B455</t>
  </si>
  <si>
    <t>ICAO Xpndr = S...ICAO #10 = SBGZ/S...ICAO #18 = NAV/SBAS REG/N471CP CODE/A5C511</t>
  </si>
  <si>
    <t>ICAO Xpndr = SES...ICAO #10 = SBGZ/EB2...ICAO #18 = NAV/SBAS REG/N493CP CODE/A61B70</t>
  </si>
  <si>
    <t>ICAO Xpndr = SES...ICAO #10 = SBGZ/EB2...ICAO #18 = NAV/SBAS REG/N697CP CODE/A944F7</t>
  </si>
  <si>
    <t>CAP 921</t>
  </si>
  <si>
    <t>N697CP</t>
  </si>
  <si>
    <t>CAP 930</t>
  </si>
  <si>
    <t>N402CV</t>
  </si>
  <si>
    <t>W/B: 03-AUG-2017 Mathew Barnard</t>
  </si>
  <si>
    <t>W/B: 8-Jan-2013 Harry Schlegelmilch</t>
  </si>
  <si>
    <t>W/B: 18-FEB-2019 Caribbean Avionics</t>
  </si>
  <si>
    <t>W/B: 08-DEC-2016 Yingling Aircraft</t>
  </si>
  <si>
    <t>W/B: 15-DEC-2010 Cessna Factory</t>
  </si>
  <si>
    <t>W/B: 30-AUG-2010 Michael J Gick</t>
  </si>
  <si>
    <t>ICAO Xpndr = SES...ICAO #10 = SBGZ/EB2...ICAO #18 = NAV/SBAS REG/N426CP CODE/A51229</t>
  </si>
  <si>
    <t>ICAO Xpndr = SES...ICAO #10 = SBGZ/EB2...ICAO #18 = REG/N990CP CODE/ADD2E3</t>
  </si>
  <si>
    <t>ICAO Xpndr = SES...ICAO #10 = SBGZ/EB2...ICAO #18 = NAV/SBAS REG/N9433L CODE/A1B19</t>
  </si>
  <si>
    <t>ICAO Xpndr = SES...ICAO #10 = SBGZ/EB2...ICAO #18 = NAV/SBAS REG/N288CP CODE/A222C1</t>
  </si>
  <si>
    <t>W/B: 19-SEP-2016 Cessna Factory</t>
  </si>
  <si>
    <t>W/B: 19 APR 2005 Gippland Aeromotive</t>
  </si>
  <si>
    <t>CAP 9471</t>
  </si>
  <si>
    <t xml:space="preserve">CAP </t>
  </si>
  <si>
    <t>Nxxx</t>
  </si>
  <si>
    <t>W/B: 20-APR-2015 Yingling Aircraft Inc.</t>
  </si>
  <si>
    <t>All active GAWG C172, C182 and G8 Aircraft added to the sheet.  ICAO information added for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</si>
</sst>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000"/>
    <numFmt numFmtId="167" formatCode="0.000"/>
    <numFmt numFmtId="168" formatCode="[$-409]d\-mmm\-yy;@"/>
    <numFmt numFmtId="169" formatCode="dd\ mmm\ yy"/>
    <numFmt numFmtId="170" formatCode="dd\-mmm\-yy"/>
    <numFmt numFmtId="171" formatCode="dd\ mmm\ yyyy"/>
  </numFmts>
  <fonts count="107" x14ac:knownFonts="1">
    <font>
      <sz val="10"/>
      <name val="Arial"/>
    </font>
    <font>
      <b/>
      <sz val="10"/>
      <name val="Arial"/>
      <family val="2"/>
    </font>
    <font>
      <b/>
      <sz val="9"/>
      <name val="Arial"/>
      <family val="2"/>
    </font>
    <font>
      <b/>
      <i/>
      <sz val="9"/>
      <name val="Arial"/>
      <family val="2"/>
    </font>
    <font>
      <b/>
      <sz val="8"/>
      <name val="Arial"/>
      <family val="2"/>
    </font>
    <font>
      <sz val="8"/>
      <name val="Arial"/>
      <family val="2"/>
    </font>
    <font>
      <i/>
      <sz val="8"/>
      <name val="Arial"/>
      <family val="2"/>
    </font>
    <font>
      <sz val="9"/>
      <name val="Arial"/>
      <family val="2"/>
    </font>
    <font>
      <i/>
      <sz val="9"/>
      <name val="Arial"/>
      <family val="2"/>
    </font>
    <font>
      <sz val="8"/>
      <name val="Arial"/>
      <family val="2"/>
    </font>
    <font>
      <b/>
      <i/>
      <sz val="8"/>
      <name val="Arial"/>
      <family val="2"/>
    </font>
    <font>
      <sz val="10"/>
      <name val="Arial Black"/>
      <family val="2"/>
    </font>
    <font>
      <sz val="9"/>
      <name val="Arial"/>
      <family val="2"/>
    </font>
    <font>
      <b/>
      <sz val="14"/>
      <color indexed="9"/>
      <name val="Arial"/>
      <family val="2"/>
    </font>
    <font>
      <sz val="10"/>
      <color indexed="9"/>
      <name val="Arial"/>
      <family val="2"/>
    </font>
    <font>
      <b/>
      <sz val="9"/>
      <color indexed="17"/>
      <name val="Arial"/>
      <family val="2"/>
    </font>
    <font>
      <b/>
      <sz val="8"/>
      <color indexed="8"/>
      <name val="Arial"/>
      <family val="2"/>
    </font>
    <font>
      <sz val="9"/>
      <color indexed="8"/>
      <name val="Arial"/>
      <family val="2"/>
    </font>
    <font>
      <b/>
      <i/>
      <sz val="8"/>
      <name val="Arial"/>
      <family val="2"/>
    </font>
    <font>
      <b/>
      <i/>
      <u/>
      <sz val="10"/>
      <name val="Arial"/>
      <family val="2"/>
    </font>
    <font>
      <sz val="8"/>
      <color indexed="81"/>
      <name val="Tahoma"/>
      <family val="2"/>
    </font>
    <font>
      <b/>
      <sz val="8"/>
      <color indexed="81"/>
      <name val="Tahoma"/>
      <family val="2"/>
    </font>
    <font>
      <sz val="8"/>
      <name val="Arial Narrow"/>
      <family val="2"/>
    </font>
    <font>
      <sz val="8"/>
      <color indexed="63"/>
      <name val="Arial"/>
      <family val="2"/>
    </font>
    <font>
      <b/>
      <sz val="9"/>
      <color indexed="8"/>
      <name val="Arial"/>
      <family val="2"/>
    </font>
    <font>
      <b/>
      <sz val="12"/>
      <name val="Arial"/>
      <family val="2"/>
    </font>
    <font>
      <sz val="6"/>
      <name val="Arial"/>
      <family val="2"/>
    </font>
    <font>
      <sz val="8"/>
      <color indexed="8"/>
      <name val="Arial"/>
      <family val="2"/>
    </font>
    <font>
      <b/>
      <sz val="8"/>
      <color indexed="63"/>
      <name val="Arial"/>
      <family val="2"/>
    </font>
    <font>
      <b/>
      <sz val="11"/>
      <name val="Arial"/>
      <family val="2"/>
    </font>
    <font>
      <sz val="10"/>
      <color indexed="9"/>
      <name val="Arial Black"/>
      <family val="2"/>
    </font>
    <font>
      <sz val="8"/>
      <color indexed="17"/>
      <name val="Arial"/>
      <family val="2"/>
    </font>
    <font>
      <sz val="8"/>
      <color indexed="60"/>
      <name val="Arial"/>
      <family val="2"/>
    </font>
    <font>
      <b/>
      <sz val="8"/>
      <color indexed="9"/>
      <name val="Arial"/>
      <family val="2"/>
    </font>
    <font>
      <i/>
      <sz val="8"/>
      <color indexed="63"/>
      <name val="Arial"/>
      <family val="2"/>
    </font>
    <font>
      <b/>
      <i/>
      <sz val="10"/>
      <color indexed="8"/>
      <name val="Arial"/>
      <family val="2"/>
    </font>
    <font>
      <b/>
      <sz val="10"/>
      <color indexed="8"/>
      <name val="Arial"/>
      <family val="2"/>
    </font>
    <font>
      <b/>
      <sz val="8"/>
      <name val="Arial Narrow"/>
      <family val="2"/>
    </font>
    <font>
      <b/>
      <sz val="8"/>
      <color indexed="23"/>
      <name val="Arial"/>
      <family val="2"/>
    </font>
    <font>
      <b/>
      <sz val="10"/>
      <color indexed="17"/>
      <name val="Arial"/>
      <family val="2"/>
    </font>
    <font>
      <b/>
      <sz val="10"/>
      <color indexed="10"/>
      <name val="Arial Narrow"/>
      <family val="2"/>
    </font>
    <font>
      <i/>
      <sz val="9"/>
      <color indexed="8"/>
      <name val="Arial"/>
      <family val="2"/>
    </font>
    <font>
      <b/>
      <u/>
      <sz val="8"/>
      <name val="Arial"/>
      <family val="2"/>
    </font>
    <font>
      <sz val="9"/>
      <name val="Arial Black"/>
      <family val="2"/>
    </font>
    <font>
      <sz val="10"/>
      <name val="Arial"/>
      <family val="2"/>
    </font>
    <font>
      <b/>
      <i/>
      <sz val="10"/>
      <name val="Arial"/>
      <family val="2"/>
    </font>
    <font>
      <b/>
      <i/>
      <sz val="8"/>
      <color indexed="8"/>
      <name val="Arial"/>
      <family val="2"/>
    </font>
    <font>
      <b/>
      <sz val="12"/>
      <color indexed="9"/>
      <name val="Arial"/>
      <family val="2"/>
    </font>
    <font>
      <sz val="8"/>
      <color indexed="8"/>
      <name val="Arial"/>
      <family val="2"/>
    </font>
    <font>
      <sz val="10"/>
      <color indexed="22"/>
      <name val="Arial"/>
      <family val="2"/>
    </font>
    <font>
      <sz val="8"/>
      <color indexed="23"/>
      <name val="Arial Narrow"/>
      <family val="2"/>
    </font>
    <font>
      <b/>
      <sz val="8"/>
      <color indexed="10"/>
      <name val="Arial"/>
      <family val="2"/>
    </font>
    <font>
      <b/>
      <sz val="14"/>
      <name val="Arial"/>
      <family val="2"/>
    </font>
    <font>
      <b/>
      <sz val="14"/>
      <name val="Arial Narrow"/>
      <family val="2"/>
    </font>
    <font>
      <sz val="8"/>
      <color theme="0" tint="-0.499984740745262"/>
      <name val="Arial"/>
      <family val="2"/>
    </font>
    <font>
      <sz val="10"/>
      <color theme="0" tint="-0.499984740745262"/>
      <name val="Arial"/>
      <family val="2"/>
    </font>
    <font>
      <i/>
      <sz val="8"/>
      <color rgb="FFC00000"/>
      <name val="Arial"/>
      <family val="2"/>
    </font>
    <font>
      <sz val="8"/>
      <name val="Arial Black"/>
      <family val="2"/>
    </font>
    <font>
      <b/>
      <sz val="9"/>
      <color theme="1"/>
      <name val="Arial"/>
      <family val="2"/>
    </font>
    <font>
      <b/>
      <sz val="10"/>
      <color rgb="FFFF0000"/>
      <name val="Arial"/>
      <family val="2"/>
    </font>
    <font>
      <b/>
      <sz val="8"/>
      <color theme="0"/>
      <name val="Arial"/>
      <family val="2"/>
    </font>
    <font>
      <sz val="10"/>
      <color theme="0"/>
      <name val="Arial"/>
      <family val="2"/>
    </font>
    <font>
      <b/>
      <i/>
      <sz val="8"/>
      <color theme="0"/>
      <name val="Arial"/>
      <family val="2"/>
    </font>
    <font>
      <sz val="10"/>
      <color theme="0" tint="-0.34998626667073579"/>
      <name val="Arial"/>
      <family val="2"/>
    </font>
    <font>
      <sz val="8"/>
      <color theme="1" tint="0.499984740745262"/>
      <name val="Arial"/>
      <family val="2"/>
    </font>
    <font>
      <sz val="9"/>
      <color theme="0"/>
      <name val="Arial Black"/>
      <family val="2"/>
    </font>
    <font>
      <b/>
      <u/>
      <sz val="9"/>
      <color theme="0"/>
      <name val="Arial Black"/>
      <family val="2"/>
    </font>
    <font>
      <u/>
      <sz val="9"/>
      <color theme="0"/>
      <name val="Arial Black"/>
      <family val="2"/>
    </font>
    <font>
      <b/>
      <sz val="10"/>
      <color theme="0"/>
      <name val="Arial"/>
      <family val="2"/>
    </font>
    <font>
      <b/>
      <sz val="10"/>
      <color theme="1"/>
      <name val="Arial"/>
      <family val="2"/>
    </font>
    <font>
      <b/>
      <i/>
      <sz val="10"/>
      <color theme="1"/>
      <name val="Arial"/>
      <family val="2"/>
    </font>
    <font>
      <sz val="8"/>
      <color theme="1"/>
      <name val="Arial Black"/>
      <family val="2"/>
    </font>
    <font>
      <b/>
      <sz val="9"/>
      <color rgb="FFFF6600"/>
      <name val="Arial"/>
      <family val="2"/>
    </font>
    <font>
      <b/>
      <sz val="9"/>
      <color theme="3" tint="-0.249977111117893"/>
      <name val="Arial"/>
      <family val="2"/>
    </font>
    <font>
      <b/>
      <i/>
      <sz val="9"/>
      <color theme="0"/>
      <name val="Arial"/>
      <family val="2"/>
    </font>
    <font>
      <sz val="8"/>
      <color theme="0"/>
      <name val="Arial"/>
      <family val="2"/>
    </font>
    <font>
      <sz val="8"/>
      <color theme="1" tint="0.249977111117893"/>
      <name val="Arial"/>
      <family val="2"/>
    </font>
    <font>
      <sz val="8"/>
      <color theme="1" tint="0.34998626667073579"/>
      <name val="Arial"/>
      <family val="2"/>
    </font>
    <font>
      <b/>
      <sz val="8"/>
      <color theme="1" tint="0.34998626667073579"/>
      <name val="Arial"/>
      <family val="2"/>
    </font>
    <font>
      <b/>
      <sz val="8"/>
      <color theme="1"/>
      <name val="Arial"/>
      <family val="2"/>
    </font>
    <font>
      <b/>
      <sz val="10"/>
      <color rgb="FFC00000"/>
      <name val="Arial"/>
      <family val="2"/>
    </font>
    <font>
      <b/>
      <i/>
      <sz val="8"/>
      <color rgb="FFC00000"/>
      <name val="Arial"/>
      <family val="2"/>
    </font>
    <font>
      <b/>
      <sz val="8"/>
      <color rgb="FFC00000"/>
      <name val="Courier New"/>
      <family val="3"/>
    </font>
    <font>
      <b/>
      <sz val="7"/>
      <name val="Verdana"/>
      <family val="2"/>
    </font>
    <font>
      <b/>
      <i/>
      <sz val="8"/>
      <color theme="1"/>
      <name val="Arial"/>
      <family val="2"/>
    </font>
    <font>
      <b/>
      <sz val="8"/>
      <color indexed="10"/>
      <name val="Arial Narrow"/>
      <family val="2"/>
    </font>
    <font>
      <i/>
      <sz val="8"/>
      <color theme="1"/>
      <name val="Arial"/>
      <family val="2"/>
    </font>
    <font>
      <b/>
      <sz val="8"/>
      <color rgb="FFFF0000"/>
      <name val="Arial"/>
      <family val="2"/>
    </font>
    <font>
      <b/>
      <sz val="9"/>
      <color rgb="FF000000"/>
      <name val="Arial"/>
      <family val="2"/>
    </font>
    <font>
      <b/>
      <sz val="9"/>
      <color rgb="FF00FF00"/>
      <name val="Arial"/>
      <family val="2"/>
    </font>
    <font>
      <b/>
      <sz val="9"/>
      <color theme="0"/>
      <name val="Arial"/>
      <family val="2"/>
    </font>
    <font>
      <sz val="9"/>
      <color theme="0"/>
      <name val="Arial"/>
      <family val="2"/>
    </font>
    <font>
      <b/>
      <sz val="7"/>
      <color rgb="FFFF0000"/>
      <name val="Arial"/>
      <family val="2"/>
    </font>
    <font>
      <sz val="3"/>
      <color theme="0"/>
      <name val="Arial"/>
      <family val="2"/>
    </font>
    <font>
      <sz val="7"/>
      <name val="Arial"/>
      <family val="2"/>
    </font>
    <font>
      <i/>
      <sz val="8"/>
      <color theme="0"/>
      <name val="Arial"/>
      <family val="2"/>
    </font>
    <font>
      <b/>
      <sz val="7"/>
      <color rgb="FFFF0000"/>
      <name val="Arial Narrow"/>
      <family val="2"/>
    </font>
    <font>
      <sz val="12"/>
      <color theme="0"/>
      <name val="Arial"/>
      <family val="2"/>
    </font>
    <font>
      <b/>
      <sz val="11"/>
      <color theme="0"/>
      <name val="Arial"/>
      <family val="2"/>
    </font>
    <font>
      <sz val="10"/>
      <color theme="1" tint="0.499984740745262"/>
      <name val="Arial"/>
      <family val="2"/>
    </font>
    <font>
      <b/>
      <sz val="9"/>
      <name val="Arial Black"/>
      <family val="2"/>
    </font>
    <font>
      <b/>
      <sz val="9"/>
      <color theme="0"/>
      <name val="Wingdings 3"/>
      <family val="1"/>
      <charset val="2"/>
    </font>
    <font>
      <b/>
      <u/>
      <sz val="11"/>
      <name val="Arial"/>
      <family val="2"/>
    </font>
    <font>
      <sz val="8"/>
      <color rgb="FF0000FF"/>
      <name val="Arial"/>
      <family val="2"/>
    </font>
    <font>
      <b/>
      <sz val="8"/>
      <color rgb="FFC00000"/>
      <name val="Arial"/>
      <family val="2"/>
    </font>
    <font>
      <b/>
      <sz val="8"/>
      <color theme="5"/>
      <name val="Arial"/>
      <family val="2"/>
    </font>
    <font>
      <sz val="8"/>
      <color rgb="FFFF0000"/>
      <name val="Arial"/>
      <family val="2"/>
    </font>
  </fonts>
  <fills count="50">
    <fill>
      <patternFill patternType="none"/>
    </fill>
    <fill>
      <patternFill patternType="gray125"/>
    </fill>
    <fill>
      <patternFill patternType="solid">
        <fgColor indexed="22"/>
        <bgColor indexed="64"/>
      </patternFill>
    </fill>
    <fill>
      <patternFill patternType="mediumGray">
        <fgColor indexed="22"/>
        <bgColor indexed="9"/>
      </patternFill>
    </fill>
    <fill>
      <patternFill patternType="lightUp">
        <fgColor indexed="22"/>
        <bgColor indexed="9"/>
      </patternFill>
    </fill>
    <fill>
      <patternFill patternType="mediumGray">
        <fgColor indexed="11"/>
        <bgColor indexed="9"/>
      </patternFill>
    </fill>
    <fill>
      <patternFill patternType="solid">
        <fgColor indexed="20"/>
        <bgColor indexed="31"/>
      </patternFill>
    </fill>
    <fill>
      <patternFill patternType="solid">
        <fgColor indexed="20"/>
        <bgColor indexed="64"/>
      </patternFill>
    </fill>
    <fill>
      <patternFill patternType="lightDown">
        <fgColor indexed="22"/>
        <bgColor indexed="9"/>
      </patternFill>
    </fill>
    <fill>
      <patternFill patternType="solid">
        <fgColor indexed="58"/>
        <bgColor indexed="31"/>
      </patternFill>
    </fill>
    <fill>
      <patternFill patternType="solid">
        <fgColor indexed="58"/>
        <bgColor indexed="64"/>
      </patternFill>
    </fill>
    <fill>
      <patternFill patternType="solid">
        <fgColor indexed="8"/>
        <bgColor indexed="64"/>
      </patternFill>
    </fill>
    <fill>
      <patternFill patternType="solid">
        <fgColor indexed="13"/>
        <bgColor indexed="11"/>
      </patternFill>
    </fill>
    <fill>
      <patternFill patternType="solid">
        <fgColor indexed="10"/>
        <bgColor indexed="11"/>
      </patternFill>
    </fill>
    <fill>
      <patternFill patternType="mediumGray">
        <fgColor indexed="31"/>
        <bgColor indexed="9"/>
      </patternFill>
    </fill>
    <fill>
      <patternFill patternType="solid">
        <fgColor indexed="51"/>
        <bgColor indexed="11"/>
      </patternFill>
    </fill>
    <fill>
      <patternFill patternType="mediumGray">
        <fgColor indexed="23"/>
        <bgColor indexed="9"/>
      </patternFill>
    </fill>
    <fill>
      <patternFill patternType="lightUp">
        <fgColor indexed="55"/>
      </patternFill>
    </fill>
    <fill>
      <patternFill patternType="lightUp">
        <fgColor indexed="22"/>
      </patternFill>
    </fill>
    <fill>
      <patternFill patternType="solid">
        <fgColor indexed="44"/>
        <bgColor indexed="64"/>
      </patternFill>
    </fill>
    <fill>
      <patternFill patternType="solid">
        <fgColor theme="6" tint="-0.499984740745262"/>
        <bgColor indexed="64"/>
      </patternFill>
    </fill>
    <fill>
      <patternFill patternType="solid">
        <fgColor theme="0" tint="-4.9989318521683403E-2"/>
        <bgColor indexed="64"/>
      </patternFill>
    </fill>
    <fill>
      <patternFill patternType="lightUp">
        <fgColor indexed="22"/>
        <bgColor theme="0" tint="-0.249977111117893"/>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mediumGray">
        <fgColor indexed="22"/>
        <bgColor theme="0" tint="-0.249977111117893"/>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
      <patternFill patternType="lightUp">
        <fgColor indexed="22"/>
        <bgColor theme="0" tint="-0.14999847407452621"/>
      </patternFill>
    </fill>
    <fill>
      <patternFill patternType="solid">
        <fgColor rgb="FFFF0000"/>
        <bgColor indexed="64"/>
      </patternFill>
    </fill>
    <fill>
      <patternFill patternType="solid">
        <fgColor indexed="9"/>
        <bgColor theme="0"/>
      </patternFill>
    </fill>
    <fill>
      <patternFill patternType="solid">
        <fgColor theme="0" tint="-0.14999847407452621"/>
        <bgColor theme="0"/>
      </patternFill>
    </fill>
    <fill>
      <patternFill patternType="solid">
        <fgColor theme="0" tint="-0.14999847407452621"/>
        <bgColor theme="0" tint="-0.14996795556505021"/>
      </patternFill>
    </fill>
    <fill>
      <patternFill patternType="solid">
        <fgColor theme="0"/>
        <bgColor theme="0"/>
      </patternFill>
    </fill>
    <fill>
      <patternFill patternType="solid">
        <fgColor rgb="FF0070C0"/>
        <bgColor indexed="64"/>
      </patternFill>
    </fill>
    <fill>
      <patternFill patternType="solid">
        <fgColor rgb="FF66FF66"/>
        <bgColor indexed="64"/>
      </patternFill>
    </fill>
    <fill>
      <patternFill patternType="mediumGray">
        <fgColor rgb="FF00FF00"/>
        <bgColor indexed="9"/>
      </patternFill>
    </fill>
    <fill>
      <patternFill patternType="mediumGray">
        <fgColor rgb="FF00FF00"/>
      </patternFill>
    </fill>
    <fill>
      <patternFill patternType="solid">
        <fgColor rgb="FF0000FF"/>
        <bgColor indexed="31"/>
      </patternFill>
    </fill>
    <fill>
      <patternFill patternType="solid">
        <fgColor rgb="FF0000FF"/>
        <bgColor indexed="64"/>
      </patternFill>
    </fill>
    <fill>
      <patternFill patternType="solid">
        <fgColor rgb="FF99FF99"/>
        <bgColor indexed="64"/>
      </patternFill>
    </fill>
    <fill>
      <patternFill patternType="solid">
        <fgColor rgb="FF99FF99"/>
        <bgColor theme="0"/>
      </patternFill>
    </fill>
    <fill>
      <patternFill patternType="solid">
        <fgColor rgb="FFBDFFBD"/>
        <bgColor indexed="64"/>
      </patternFill>
    </fill>
    <fill>
      <patternFill patternType="solid">
        <fgColor rgb="FF339933"/>
        <bgColor indexed="64"/>
      </patternFill>
    </fill>
    <fill>
      <patternFill patternType="solid">
        <fgColor theme="0" tint="-0.24994659260841701"/>
        <bgColor indexed="64"/>
      </patternFill>
    </fill>
    <fill>
      <patternFill patternType="solid">
        <fgColor rgb="FFD27E7C"/>
        <bgColor indexed="64"/>
      </patternFill>
    </fill>
    <fill>
      <patternFill patternType="solid">
        <fgColor rgb="FF33CC33"/>
        <bgColor indexed="64"/>
      </patternFill>
    </fill>
    <fill>
      <patternFill patternType="solid">
        <fgColor theme="2" tint="-9.9978637043366805E-2"/>
        <bgColor indexed="64"/>
      </patternFill>
    </fill>
  </fills>
  <borders count="212">
    <border>
      <left/>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9"/>
      </left>
      <right style="thin">
        <color indexed="22"/>
      </right>
      <top style="thin">
        <color indexed="9"/>
      </top>
      <bottom style="thin">
        <color indexed="9"/>
      </bottom>
      <diagonal/>
    </border>
    <border>
      <left style="thin">
        <color indexed="64"/>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64"/>
      </right>
      <top/>
      <bottom style="thin">
        <color indexed="55"/>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double">
        <color indexed="64"/>
      </bottom>
      <diagonal/>
    </border>
    <border>
      <left style="thin">
        <color indexed="55"/>
      </left>
      <right/>
      <top/>
      <bottom style="double">
        <color indexed="8"/>
      </bottom>
      <diagonal/>
    </border>
    <border>
      <left style="thin">
        <color indexed="22"/>
      </left>
      <right style="thin">
        <color indexed="64"/>
      </right>
      <top/>
      <bottom/>
      <diagonal/>
    </border>
    <border>
      <left style="thin">
        <color indexed="22"/>
      </left>
      <right style="thin">
        <color indexed="64"/>
      </right>
      <top style="thin">
        <color indexed="55"/>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3"/>
      </left>
      <right style="hair">
        <color indexed="63"/>
      </right>
      <top style="hair">
        <color indexed="63"/>
      </top>
      <bottom style="hair">
        <color indexed="63"/>
      </bottom>
      <diagonal/>
    </border>
    <border>
      <left style="hair">
        <color indexed="63"/>
      </left>
      <right style="hair">
        <color indexed="63"/>
      </right>
      <top style="hair">
        <color indexed="63"/>
      </top>
      <bottom/>
      <diagonal/>
    </border>
    <border>
      <left style="thin">
        <color indexed="64"/>
      </left>
      <right style="hair">
        <color indexed="64"/>
      </right>
      <top/>
      <bottom style="hair">
        <color indexed="64"/>
      </bottom>
      <diagonal/>
    </border>
    <border>
      <left/>
      <right/>
      <top style="thin">
        <color indexed="64"/>
      </top>
      <bottom style="hair">
        <color indexed="55"/>
      </bottom>
      <diagonal/>
    </border>
    <border>
      <left/>
      <right style="thin">
        <color indexed="64"/>
      </right>
      <top/>
      <bottom style="double">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9"/>
      </left>
      <right style="thin">
        <color indexed="22"/>
      </right>
      <top style="thin">
        <color indexed="9"/>
      </top>
      <bottom style="thin">
        <color indexed="64"/>
      </bottom>
      <diagonal/>
    </border>
    <border>
      <left style="thin">
        <color indexed="22"/>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double">
        <color indexed="55"/>
      </left>
      <right style="hair">
        <color indexed="22"/>
      </right>
      <top style="hair">
        <color indexed="22"/>
      </top>
      <bottom style="hair">
        <color indexed="22"/>
      </bottom>
      <diagonal/>
    </border>
    <border>
      <left/>
      <right style="thick">
        <color indexed="9"/>
      </right>
      <top style="thick">
        <color indexed="9"/>
      </top>
      <bottom style="thick">
        <color indexed="9"/>
      </bottom>
      <diagonal/>
    </border>
    <border>
      <left style="thick">
        <color indexed="9"/>
      </left>
      <right style="thick">
        <color indexed="9"/>
      </right>
      <top style="thick">
        <color indexed="9"/>
      </top>
      <bottom style="thick">
        <color indexed="9"/>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55"/>
      </bottom>
      <diagonal/>
    </border>
    <border>
      <left style="double">
        <color indexed="55"/>
      </left>
      <right style="hair">
        <color indexed="22"/>
      </right>
      <top style="hair">
        <color indexed="22"/>
      </top>
      <bottom style="double">
        <color indexed="55"/>
      </bottom>
      <diagonal/>
    </border>
    <border>
      <left/>
      <right style="medium">
        <color indexed="9"/>
      </right>
      <top/>
      <bottom style="medium">
        <color indexed="9"/>
      </bottom>
      <diagonal/>
    </border>
    <border>
      <left/>
      <right style="medium">
        <color indexed="9"/>
      </right>
      <top/>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64"/>
      </right>
      <top/>
      <bottom style="thin">
        <color indexed="9"/>
      </bottom>
      <diagonal/>
    </border>
    <border diagonalUp="1">
      <left style="hair">
        <color indexed="63"/>
      </left>
      <right style="hair">
        <color indexed="63"/>
      </right>
      <top style="hair">
        <color indexed="63"/>
      </top>
      <bottom style="hair">
        <color indexed="63"/>
      </bottom>
      <diagonal style="thin">
        <color indexed="23"/>
      </diagonal>
    </border>
    <border>
      <left/>
      <right style="hair">
        <color indexed="63"/>
      </right>
      <top style="hair">
        <color indexed="63"/>
      </top>
      <bottom style="hair">
        <color indexed="63"/>
      </bottom>
      <diagonal/>
    </border>
    <border>
      <left style="hair">
        <color indexed="63"/>
      </left>
      <right/>
      <top style="hair">
        <color indexed="63"/>
      </top>
      <bottom style="hair">
        <color indexed="63"/>
      </bottom>
      <diagonal/>
    </border>
    <border>
      <left/>
      <right/>
      <top style="hair">
        <color indexed="63"/>
      </top>
      <bottom style="hair">
        <color indexed="63"/>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ck">
        <color indexed="55"/>
      </left>
      <right style="thick">
        <color indexed="55"/>
      </right>
      <top style="thick">
        <color indexed="55"/>
      </top>
      <bottom style="thick">
        <color indexed="55"/>
      </bottom>
      <diagonal/>
    </border>
    <border>
      <left style="hair">
        <color indexed="64"/>
      </left>
      <right style="hair">
        <color indexed="64"/>
      </right>
      <top/>
      <bottom style="hair">
        <color indexed="64"/>
      </bottom>
      <diagonal/>
    </border>
    <border>
      <left style="thick">
        <color indexed="23"/>
      </left>
      <right style="thick">
        <color indexed="23"/>
      </right>
      <top style="thick">
        <color indexed="23"/>
      </top>
      <bottom style="thick">
        <color indexed="23"/>
      </bottom>
      <diagonal/>
    </border>
    <border>
      <left style="thick">
        <color indexed="9"/>
      </left>
      <right style="thick">
        <color indexed="9"/>
      </right>
      <top/>
      <bottom/>
      <diagonal/>
    </border>
    <border>
      <left/>
      <right/>
      <top style="thick">
        <color indexed="9"/>
      </top>
      <bottom style="thick">
        <color indexed="9"/>
      </bottom>
      <diagonal/>
    </border>
    <border>
      <left/>
      <right/>
      <top style="thick">
        <color indexed="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ck">
        <color indexed="9"/>
      </left>
      <right/>
      <top/>
      <bottom/>
      <diagonal/>
    </border>
    <border>
      <left style="thin">
        <color indexed="9"/>
      </left>
      <right/>
      <top/>
      <bottom/>
      <diagonal/>
    </border>
    <border>
      <left/>
      <right style="thin">
        <color indexed="9"/>
      </right>
      <top/>
      <bottom/>
      <diagonal/>
    </border>
    <border>
      <left style="hair">
        <color indexed="55"/>
      </left>
      <right style="hair">
        <color indexed="55"/>
      </right>
      <top style="thin">
        <color indexed="64"/>
      </top>
      <bottom/>
      <diagonal/>
    </border>
    <border>
      <left style="hair">
        <color indexed="55"/>
      </left>
      <right style="hair">
        <color indexed="55"/>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9"/>
      </left>
      <right/>
      <top style="thick">
        <color indexed="9"/>
      </top>
      <bottom style="thick">
        <color indexed="9"/>
      </bottom>
      <diagonal/>
    </border>
    <border>
      <left style="medium">
        <color indexed="22"/>
      </left>
      <right/>
      <top style="medium">
        <color indexed="22"/>
      </top>
      <bottom style="medium">
        <color indexed="22"/>
      </bottom>
      <diagonal/>
    </border>
    <border>
      <left/>
      <right style="medium">
        <color indexed="22"/>
      </right>
      <top style="medium">
        <color indexed="22"/>
      </top>
      <bottom style="medium">
        <color indexed="22"/>
      </bottom>
      <diagonal/>
    </border>
    <border>
      <left style="hair">
        <color indexed="22"/>
      </left>
      <right style="hair">
        <color indexed="22"/>
      </right>
      <top style="hair">
        <color indexed="22"/>
      </top>
      <bottom style="hair">
        <color indexed="22"/>
      </bottom>
      <diagonal/>
    </border>
    <border>
      <left style="thick">
        <color indexed="9"/>
      </left>
      <right/>
      <top style="thick">
        <color indexed="9"/>
      </top>
      <bottom/>
      <diagonal/>
    </border>
    <border>
      <left style="hair">
        <color indexed="22"/>
      </left>
      <right style="hair">
        <color indexed="22"/>
      </right>
      <top style="double">
        <color indexed="55"/>
      </top>
      <bottom style="hair">
        <color indexed="22"/>
      </bottom>
      <diagonal/>
    </border>
    <border>
      <left style="hair">
        <color indexed="22"/>
      </left>
      <right style="double">
        <color indexed="55"/>
      </right>
      <top style="double">
        <color indexed="55"/>
      </top>
      <bottom style="hair">
        <color indexed="22"/>
      </bottom>
      <diagonal/>
    </border>
    <border>
      <left style="hair">
        <color indexed="22"/>
      </left>
      <right style="double">
        <color indexed="55"/>
      </right>
      <top style="hair">
        <color indexed="22"/>
      </top>
      <bottom style="hair">
        <color indexed="22"/>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top/>
      <bottom/>
      <diagonal/>
    </border>
    <border>
      <left style="thin">
        <color indexed="22"/>
      </left>
      <right/>
      <top style="thin">
        <color indexed="22"/>
      </top>
      <bottom/>
      <diagonal/>
    </border>
    <border>
      <left/>
      <right style="thin">
        <color indexed="22"/>
      </right>
      <top style="thin">
        <color indexed="22"/>
      </top>
      <bottom/>
      <diagonal/>
    </border>
    <border>
      <left style="hair">
        <color indexed="22"/>
      </left>
      <right style="hair">
        <color indexed="22"/>
      </right>
      <top style="hair">
        <color indexed="22"/>
      </top>
      <bottom style="double">
        <color indexed="55"/>
      </bottom>
      <diagonal/>
    </border>
    <border>
      <left style="hair">
        <color indexed="22"/>
      </left>
      <right style="double">
        <color indexed="55"/>
      </right>
      <top style="hair">
        <color indexed="22"/>
      </top>
      <bottom style="double">
        <color indexed="55"/>
      </bottom>
      <diagonal/>
    </border>
    <border>
      <left style="double">
        <color indexed="55"/>
      </left>
      <right style="hair">
        <color indexed="22"/>
      </right>
      <top style="double">
        <color indexed="55"/>
      </top>
      <bottom style="hair">
        <color indexed="22"/>
      </bottom>
      <diagonal/>
    </border>
    <border>
      <left/>
      <right style="thick">
        <color indexed="9"/>
      </right>
      <top/>
      <bottom/>
      <diagonal/>
    </border>
    <border>
      <left/>
      <right/>
      <top style="thin">
        <color indexed="55"/>
      </top>
      <bottom style="thin">
        <color theme="0" tint="-0.14996795556505021"/>
      </bottom>
      <diagonal/>
    </border>
    <border>
      <left style="thick">
        <color theme="0"/>
      </left>
      <right style="thick">
        <color theme="0"/>
      </right>
      <top style="thick">
        <color theme="0"/>
      </top>
      <bottom style="thick">
        <color theme="0"/>
      </bottom>
      <diagonal/>
    </border>
    <border>
      <left style="medium">
        <color rgb="FF006600"/>
      </left>
      <right style="thin">
        <color theme="1" tint="0.499984740745262"/>
      </right>
      <top style="medium">
        <color rgb="FF006600"/>
      </top>
      <bottom style="thin">
        <color indexed="64"/>
      </bottom>
      <diagonal/>
    </border>
    <border>
      <left style="thin">
        <color theme="1" tint="0.499984740745262"/>
      </left>
      <right style="thick">
        <color rgb="FF006600"/>
      </right>
      <top style="medium">
        <color rgb="FF006600"/>
      </top>
      <bottom style="thin">
        <color indexed="64"/>
      </bottom>
      <diagonal/>
    </border>
    <border>
      <left style="medium">
        <color rgb="FF006600"/>
      </left>
      <right style="thin">
        <color theme="1" tint="0.499984740745262"/>
      </right>
      <top style="thin">
        <color indexed="64"/>
      </top>
      <bottom style="thin">
        <color indexed="64"/>
      </bottom>
      <diagonal/>
    </border>
    <border>
      <left style="thin">
        <color theme="1" tint="0.499984740745262"/>
      </left>
      <right style="thick">
        <color rgb="FF006600"/>
      </right>
      <top style="thin">
        <color indexed="64"/>
      </top>
      <bottom style="thin">
        <color indexed="64"/>
      </bottom>
      <diagonal/>
    </border>
    <border>
      <left style="medium">
        <color rgb="FF006600"/>
      </left>
      <right style="thin">
        <color theme="1" tint="0.499984740745262"/>
      </right>
      <top/>
      <bottom style="thin">
        <color indexed="64"/>
      </bottom>
      <diagonal/>
    </border>
    <border>
      <left style="thin">
        <color theme="1" tint="0.499984740745262"/>
      </left>
      <right style="thick">
        <color rgb="FF006600"/>
      </right>
      <top/>
      <bottom style="thin">
        <color indexed="64"/>
      </bottom>
      <diagonal/>
    </border>
    <border>
      <left style="medium">
        <color rgb="FF006600"/>
      </left>
      <right style="thin">
        <color theme="1" tint="0.499984740745262"/>
      </right>
      <top/>
      <bottom style="thick">
        <color rgb="FF006600"/>
      </bottom>
      <diagonal/>
    </border>
    <border>
      <left style="thin">
        <color theme="1" tint="0.499984740745262"/>
      </left>
      <right style="thick">
        <color rgb="FF006600"/>
      </right>
      <top/>
      <bottom style="thick">
        <color rgb="FF006600"/>
      </bottom>
      <diagonal/>
    </border>
    <border>
      <left style="hair">
        <color theme="0" tint="-0.24994659260841701"/>
      </left>
      <right/>
      <top/>
      <bottom style="hair">
        <color theme="0" tint="-0.24994659260841701"/>
      </bottom>
      <diagonal/>
    </border>
    <border>
      <left style="thick">
        <color theme="0"/>
      </left>
      <right/>
      <top/>
      <bottom/>
      <diagonal/>
    </border>
    <border>
      <left/>
      <right/>
      <top/>
      <bottom style="thin">
        <color indexed="9"/>
      </bottom>
      <diagonal/>
    </border>
    <border>
      <left style="thick">
        <color theme="0"/>
      </left>
      <right style="thick">
        <color theme="0"/>
      </right>
      <top/>
      <bottom/>
      <diagonal/>
    </border>
    <border>
      <left style="double">
        <color rgb="FFFF0000"/>
      </left>
      <right/>
      <top/>
      <bottom/>
      <diagonal/>
    </border>
    <border>
      <left style="double">
        <color indexed="60"/>
      </left>
      <right/>
      <top style="double">
        <color indexed="60"/>
      </top>
      <bottom style="double">
        <color indexed="60"/>
      </bottom>
      <diagonal/>
    </border>
    <border>
      <left/>
      <right style="double">
        <color indexed="60"/>
      </right>
      <top style="double">
        <color indexed="60"/>
      </top>
      <bottom style="double">
        <color indexed="60"/>
      </bottom>
      <diagonal/>
    </border>
    <border>
      <left style="thick">
        <color rgb="FFFF6600"/>
      </left>
      <right/>
      <top style="thick">
        <color rgb="FFFF6600"/>
      </top>
      <bottom/>
      <diagonal/>
    </border>
    <border>
      <left/>
      <right/>
      <top style="thick">
        <color rgb="FFFF6600"/>
      </top>
      <bottom/>
      <diagonal/>
    </border>
    <border>
      <left style="thick">
        <color rgb="FFFF6600"/>
      </left>
      <right/>
      <top/>
      <bottom/>
      <diagonal/>
    </border>
    <border>
      <left style="thick">
        <color rgb="FFFF6600"/>
      </left>
      <right/>
      <top/>
      <bottom style="thick">
        <color rgb="FFFF6600"/>
      </bottom>
      <diagonal/>
    </border>
    <border>
      <left/>
      <right/>
      <top/>
      <bottom style="thick">
        <color rgb="FFFF6600"/>
      </bottom>
      <diagonal/>
    </border>
    <border>
      <left/>
      <right style="thick">
        <color rgb="FFFF6600"/>
      </right>
      <top/>
      <bottom/>
      <diagonal/>
    </border>
    <border>
      <left/>
      <right style="thick">
        <color rgb="FFFF6600"/>
      </right>
      <top/>
      <bottom style="thick">
        <color rgb="FFFF6600"/>
      </bottom>
      <diagonal/>
    </border>
    <border>
      <left style="thick">
        <color theme="3" tint="-0.24994659260841701"/>
      </left>
      <right/>
      <top style="thick">
        <color theme="3" tint="-0.24994659260841701"/>
      </top>
      <bottom/>
      <diagonal/>
    </border>
    <border>
      <left/>
      <right style="thin">
        <color indexed="9"/>
      </right>
      <top style="thick">
        <color theme="3" tint="-0.24994659260841701"/>
      </top>
      <bottom/>
      <diagonal/>
    </border>
    <border>
      <left style="thick">
        <color theme="3" tint="-0.24994659260841701"/>
      </left>
      <right/>
      <top/>
      <bottom/>
      <diagonal/>
    </border>
    <border>
      <left style="thick">
        <color theme="3" tint="-0.24994659260841701"/>
      </left>
      <right/>
      <top/>
      <bottom style="thick">
        <color theme="3" tint="-0.24994659260841701"/>
      </bottom>
      <diagonal/>
    </border>
    <border>
      <left/>
      <right/>
      <top/>
      <bottom style="thick">
        <color theme="3" tint="-0.24994659260841701"/>
      </bottom>
      <diagonal/>
    </border>
    <border>
      <left/>
      <right style="thick">
        <color theme="3" tint="-0.24994659260841701"/>
      </right>
      <top/>
      <bottom style="thick">
        <color theme="3" tint="-0.24994659260841701"/>
      </bottom>
      <diagonal/>
    </border>
    <border>
      <left/>
      <right style="thick">
        <color theme="3" tint="-0.24994659260841701"/>
      </right>
      <top/>
      <bottom/>
      <diagonal/>
    </border>
    <border>
      <left style="thin">
        <color theme="1"/>
      </left>
      <right style="thin">
        <color theme="1"/>
      </right>
      <top style="thin">
        <color theme="1"/>
      </top>
      <bottom/>
      <diagonal/>
    </border>
    <border>
      <left/>
      <right style="thin">
        <color theme="1"/>
      </right>
      <top/>
      <bottom style="thin">
        <color theme="1"/>
      </bottom>
      <diagonal/>
    </border>
    <border>
      <left style="thick">
        <color theme="0"/>
      </left>
      <right style="thin">
        <color indexed="64"/>
      </right>
      <top/>
      <bottom style="hair">
        <color indexed="63"/>
      </bottom>
      <diagonal/>
    </border>
    <border>
      <left style="thin">
        <color indexed="64"/>
      </left>
      <right/>
      <top style="thin">
        <color indexed="64"/>
      </top>
      <bottom style="thin">
        <color indexed="55"/>
      </bottom>
      <diagonal/>
    </border>
    <border>
      <left style="thick">
        <color theme="0" tint="-0.34998626667073579"/>
      </left>
      <right style="thick">
        <color theme="0" tint="-0.34998626667073579"/>
      </right>
      <top style="hair">
        <color indexed="63"/>
      </top>
      <bottom style="hair">
        <color indexed="63"/>
      </bottom>
      <diagonal/>
    </border>
    <border>
      <left style="thin">
        <color indexed="63"/>
      </left>
      <right style="thin">
        <color indexed="63"/>
      </right>
      <top style="hair">
        <color indexed="63"/>
      </top>
      <bottom style="thin">
        <color indexed="63"/>
      </bottom>
      <diagonal/>
    </border>
    <border diagonalUp="1">
      <left style="hair">
        <color indexed="63"/>
      </left>
      <right/>
      <top style="hair">
        <color indexed="63"/>
      </top>
      <bottom style="hair">
        <color indexed="63"/>
      </bottom>
      <diagonal style="thin">
        <color indexed="23"/>
      </diagonal>
    </border>
    <border>
      <left style="thin">
        <color indexed="63"/>
      </left>
      <right/>
      <top style="hair">
        <color indexed="63"/>
      </top>
      <bottom style="thin">
        <color indexed="64"/>
      </bottom>
      <diagonal/>
    </border>
    <border>
      <left/>
      <right style="thin">
        <color indexed="64"/>
      </right>
      <top style="hair">
        <color indexed="63"/>
      </top>
      <bottom style="thin">
        <color indexed="64"/>
      </bottom>
      <diagonal/>
    </border>
    <border>
      <left style="thin">
        <color indexed="64"/>
      </left>
      <right style="thick">
        <color theme="0"/>
      </right>
      <top/>
      <bottom style="hair">
        <color indexed="63"/>
      </bottom>
      <diagonal/>
    </border>
    <border>
      <left style="hair">
        <color indexed="63"/>
      </left>
      <right style="hair">
        <color indexed="63"/>
      </right>
      <top/>
      <bottom style="hair">
        <color indexed="63"/>
      </bottom>
      <diagonal/>
    </border>
    <border>
      <left style="thin">
        <color theme="0" tint="-0.499984740745262"/>
      </left>
      <right/>
      <top/>
      <bottom/>
      <diagonal/>
    </border>
    <border>
      <left style="thin">
        <color theme="0" tint="-0.499984740745262"/>
      </left>
      <right style="thin">
        <color theme="0" tint="-0.499984740745262"/>
      </right>
      <top/>
      <bottom/>
      <diagonal/>
    </border>
    <border>
      <left style="dashed">
        <color theme="1"/>
      </left>
      <right style="dashed">
        <color theme="1"/>
      </right>
      <top style="dashed">
        <color theme="1"/>
      </top>
      <bottom style="dashed">
        <color theme="1"/>
      </bottom>
      <diagonal/>
    </border>
    <border>
      <left style="thin">
        <color theme="0" tint="-0.499984740745262"/>
      </left>
      <right/>
      <top/>
      <bottom style="thick">
        <color theme="1"/>
      </bottom>
      <diagonal/>
    </border>
    <border>
      <left style="thin">
        <color theme="0" tint="-0.499984740745262"/>
      </left>
      <right style="thin">
        <color theme="0" tint="-0.499984740745262"/>
      </right>
      <top/>
      <bottom style="thick">
        <color theme="1"/>
      </bottom>
      <diagonal/>
    </border>
    <border>
      <left/>
      <right/>
      <top/>
      <bottom style="thick">
        <color theme="1"/>
      </bottom>
      <diagonal/>
    </border>
    <border>
      <left style="thin">
        <color theme="0" tint="-0.499984740745262"/>
      </left>
      <right/>
      <top style="thick">
        <color theme="1"/>
      </top>
      <bottom/>
      <diagonal/>
    </border>
    <border>
      <left style="thin">
        <color theme="0" tint="-0.499984740745262"/>
      </left>
      <right style="thin">
        <color theme="0" tint="-0.499984740745262"/>
      </right>
      <top style="thick">
        <color theme="1"/>
      </top>
      <bottom/>
      <diagonal/>
    </border>
    <border>
      <left/>
      <right/>
      <top style="thick">
        <color theme="1"/>
      </top>
      <bottom/>
      <diagonal/>
    </border>
    <border>
      <left style="thin">
        <color theme="0" tint="-0.499984740745262"/>
      </left>
      <right style="thin">
        <color theme="1" tint="0.499984740745262"/>
      </right>
      <top style="thick">
        <color theme="1"/>
      </top>
      <bottom/>
      <diagonal/>
    </border>
    <border>
      <left style="thin">
        <color theme="0" tint="-0.499984740745262"/>
      </left>
      <right style="thin">
        <color theme="1" tint="0.499984740745262"/>
      </right>
      <top/>
      <bottom/>
      <diagonal/>
    </border>
    <border>
      <left style="thin">
        <color theme="0" tint="-0.499984740745262"/>
      </left>
      <right style="thin">
        <color theme="1" tint="0.499984740745262"/>
      </right>
      <top/>
      <bottom style="thick">
        <color theme="1"/>
      </bottom>
      <diagonal/>
    </border>
    <border>
      <left style="thin">
        <color theme="1" tint="0.34998626667073579"/>
      </left>
      <right style="thin">
        <color theme="1" tint="0.34998626667073579"/>
      </right>
      <top style="thick">
        <color theme="0" tint="-0.34998626667073579"/>
      </top>
      <bottom style="thick">
        <color theme="0" tint="-0.34998626667073579"/>
      </bottom>
      <diagonal/>
    </border>
    <border>
      <left/>
      <right/>
      <top/>
      <bottom style="thick">
        <color auto="1"/>
      </bottom>
      <diagonal/>
    </border>
    <border>
      <left style="hair">
        <color indexed="64"/>
      </left>
      <right style="thin">
        <color indexed="64"/>
      </right>
      <top style="thin">
        <color indexed="64"/>
      </top>
      <bottom/>
      <diagonal/>
    </border>
    <border>
      <left style="thick">
        <color theme="1" tint="0.34998626667073579"/>
      </left>
      <right style="thick">
        <color theme="1" tint="0.34998626667073579"/>
      </right>
      <top style="thick">
        <color theme="1" tint="0.34998626667073579"/>
      </top>
      <bottom style="thick">
        <color theme="1" tint="0.34998626667073579"/>
      </bottom>
      <diagonal/>
    </border>
    <border>
      <left/>
      <right/>
      <top/>
      <bottom style="thick">
        <color indexed="9"/>
      </bottom>
      <diagonal/>
    </border>
    <border>
      <left/>
      <right/>
      <top style="thin">
        <color indexed="22"/>
      </top>
      <bottom/>
      <diagonal/>
    </border>
    <border>
      <left/>
      <right/>
      <top style="medium">
        <color indexed="22"/>
      </top>
      <bottom style="medium">
        <color indexed="22"/>
      </bottom>
      <diagonal/>
    </border>
    <border>
      <left/>
      <right/>
      <top/>
      <bottom style="thin">
        <color indexed="22"/>
      </bottom>
      <diagonal/>
    </border>
    <border>
      <left/>
      <right style="thick">
        <color indexed="9"/>
      </right>
      <top style="thick">
        <color indexed="9"/>
      </top>
      <bottom/>
      <diagonal/>
    </border>
    <border>
      <left/>
      <right style="thick">
        <color indexed="9"/>
      </right>
      <top/>
      <bottom style="thick">
        <color indexed="9"/>
      </bottom>
      <diagonal/>
    </border>
    <border>
      <left style="thick">
        <color rgb="FF006600"/>
      </left>
      <right style="dotted">
        <color theme="1"/>
      </right>
      <top style="dotted">
        <color theme="1"/>
      </top>
      <bottom style="dotted">
        <color theme="1"/>
      </bottom>
      <diagonal/>
    </border>
    <border>
      <left style="thick">
        <color rgb="FF006600"/>
      </left>
      <right style="dotted">
        <color theme="1"/>
      </right>
      <top style="dotted">
        <color theme="1"/>
      </top>
      <bottom style="thin">
        <color indexed="64"/>
      </bottom>
      <diagonal/>
    </border>
    <border>
      <left style="thick">
        <color rgb="FF006600"/>
      </left>
      <right style="dotted">
        <color theme="1"/>
      </right>
      <top/>
      <bottom style="dotted">
        <color theme="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theme="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hair">
        <color theme="1"/>
      </left>
      <right/>
      <top style="thick">
        <color theme="1"/>
      </top>
      <bottom/>
      <diagonal/>
    </border>
    <border>
      <left/>
      <right style="hair">
        <color theme="1"/>
      </right>
      <top style="thick">
        <color theme="1"/>
      </top>
      <bottom style="thin">
        <color theme="0" tint="-0.499984740745262"/>
      </bottom>
      <diagonal/>
    </border>
    <border>
      <left style="hair">
        <color theme="1"/>
      </left>
      <right/>
      <top/>
      <bottom/>
      <diagonal/>
    </border>
    <border>
      <left/>
      <right style="hair">
        <color theme="1"/>
      </right>
      <top style="thin">
        <color theme="0" tint="-0.499984740745262"/>
      </top>
      <bottom style="thin">
        <color theme="0" tint="-0.499984740745262"/>
      </bottom>
      <diagonal/>
    </border>
    <border>
      <left/>
      <right style="hair">
        <color theme="1"/>
      </right>
      <top style="thin">
        <color theme="0" tint="-0.499984740745262"/>
      </top>
      <bottom/>
      <diagonal/>
    </border>
    <border>
      <left style="hair">
        <color theme="1"/>
      </left>
      <right/>
      <top/>
      <bottom style="thick">
        <color theme="1"/>
      </bottom>
      <diagonal/>
    </border>
    <border>
      <left style="thin">
        <color theme="1" tint="0.34998626667073579"/>
      </left>
      <right style="thin">
        <color theme="1" tint="0.34998626667073579"/>
      </right>
      <top/>
      <bottom style="thick">
        <color theme="1"/>
      </bottom>
      <diagonal/>
    </border>
    <border>
      <left style="dashed">
        <color theme="1"/>
      </left>
      <right style="dashed">
        <color theme="1"/>
      </right>
      <top style="dashed">
        <color theme="1"/>
      </top>
      <bottom style="thick">
        <color theme="1"/>
      </bottom>
      <diagonal/>
    </border>
    <border>
      <left/>
      <right style="thin">
        <color theme="0" tint="-0.499984740745262"/>
      </right>
      <top/>
      <bottom style="thick">
        <color theme="1"/>
      </bottom>
      <diagonal/>
    </border>
    <border>
      <left style="dashed">
        <color theme="1"/>
      </left>
      <right/>
      <top style="dashed">
        <color theme="1"/>
      </top>
      <bottom style="thick">
        <color theme="1"/>
      </bottom>
      <diagonal/>
    </border>
    <border>
      <left/>
      <right/>
      <top style="dashed">
        <color theme="1"/>
      </top>
      <bottom style="thick">
        <color theme="1"/>
      </bottom>
      <diagonal/>
    </border>
    <border>
      <left/>
      <right style="dashed">
        <color theme="1"/>
      </right>
      <top style="dashed">
        <color theme="1"/>
      </top>
      <bottom style="thick">
        <color theme="1"/>
      </bottom>
      <diagonal/>
    </border>
    <border>
      <left/>
      <right/>
      <top/>
      <bottom style="dashed">
        <color theme="1"/>
      </bottom>
      <diagonal/>
    </border>
    <border>
      <left style="thick">
        <color rgb="FF006600"/>
      </left>
      <right style="dotted">
        <color theme="1"/>
      </right>
      <top style="dotted">
        <color theme="1"/>
      </top>
      <bottom style="dotted">
        <color rgb="FF006600"/>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hair">
        <color indexed="64"/>
      </left>
      <right/>
      <top style="thin">
        <color indexed="64"/>
      </top>
      <bottom/>
      <diagonal/>
    </border>
    <border>
      <left style="medium">
        <color rgb="FF006600"/>
      </left>
      <right style="thin">
        <color theme="1" tint="0.499984740745262"/>
      </right>
      <top style="thin">
        <color indexed="64"/>
      </top>
      <bottom/>
      <diagonal/>
    </border>
    <border>
      <left style="thin">
        <color theme="1" tint="0.499984740745262"/>
      </left>
      <right style="thick">
        <color rgb="FF006600"/>
      </right>
      <top style="thin">
        <color indexed="64"/>
      </top>
      <bottom/>
      <diagonal/>
    </border>
    <border>
      <left style="thick">
        <color rgb="FF006600"/>
      </left>
      <right style="dotted">
        <color theme="1"/>
      </right>
      <top style="dotted">
        <color theme="1"/>
      </top>
      <bottom/>
      <diagonal/>
    </border>
    <border>
      <left style="medium">
        <color rgb="FF006600"/>
      </left>
      <right style="thin">
        <color theme="1" tint="0.499984740745262"/>
      </right>
      <top/>
      <bottom/>
      <diagonal/>
    </border>
    <border>
      <left style="thin">
        <color theme="1" tint="0.499984740745262"/>
      </left>
      <right style="thick">
        <color rgb="FF006600"/>
      </right>
      <top/>
      <bottom/>
      <diagonal/>
    </border>
    <border>
      <left style="medium">
        <color rgb="FF006600"/>
      </left>
      <right/>
      <top style="thin">
        <color indexed="64"/>
      </top>
      <bottom style="thin">
        <color indexed="64"/>
      </bottom>
      <diagonal/>
    </border>
    <border>
      <left style="thick">
        <color rgb="FF006600"/>
      </left>
      <right style="dotted">
        <color theme="1"/>
      </right>
      <top/>
      <bottom/>
      <diagonal/>
    </border>
    <border>
      <left style="thick">
        <color indexed="64"/>
      </left>
      <right style="dotted">
        <color theme="1"/>
      </right>
      <top/>
      <bottom/>
      <diagonal/>
    </border>
    <border>
      <left style="thick">
        <color rgb="FF006600"/>
      </left>
      <right style="dotted">
        <color theme="1"/>
      </right>
      <top style="dotted">
        <color indexed="64"/>
      </top>
      <bottom/>
      <diagonal/>
    </border>
    <border>
      <left style="thick">
        <color rgb="FF006600"/>
      </left>
      <right style="dotted">
        <color theme="1"/>
      </right>
      <top style="dotted">
        <color indexed="64"/>
      </top>
      <bottom style="dotted">
        <color indexed="64"/>
      </bottom>
      <diagonal/>
    </border>
    <border>
      <left style="thick">
        <color rgb="FF006600"/>
      </left>
      <right style="dotted">
        <color theme="1"/>
      </right>
      <top style="dotted">
        <color theme="1"/>
      </top>
      <bottom style="dotted">
        <color indexed="64"/>
      </bottom>
      <diagonal/>
    </border>
    <border>
      <left style="thick">
        <color rgb="FF006600"/>
      </left>
      <right style="dashed">
        <color theme="1" tint="0.34998626667073579"/>
      </right>
      <top style="dashed">
        <color theme="1" tint="0.34998626667073579"/>
      </top>
      <bottom style="dotted">
        <color indexed="64"/>
      </bottom>
      <diagonal/>
    </border>
    <border>
      <left style="thick">
        <color rgb="FF006600"/>
      </left>
      <right style="dotted">
        <color theme="1"/>
      </right>
      <top/>
      <bottom style="dotted">
        <color indexed="64"/>
      </bottom>
      <diagonal/>
    </border>
  </borders>
  <cellStyleXfs count="1">
    <xf numFmtId="0" fontId="0" fillId="0" borderId="0"/>
  </cellStyleXfs>
  <cellXfs count="851">
    <xf numFmtId="0" fontId="0" fillId="0" borderId="0" xfId="0"/>
    <xf numFmtId="0" fontId="6" fillId="0" borderId="0" xfId="0" applyFont="1"/>
    <xf numFmtId="0" fontId="1" fillId="0" borderId="0" xfId="0" applyFont="1"/>
    <xf numFmtId="0" fontId="11" fillId="0" borderId="0" xfId="0" applyFont="1"/>
    <xf numFmtId="0" fontId="1" fillId="0" borderId="0" xfId="0" applyFont="1" applyAlignment="1">
      <alignment horizontal="center" vertical="center"/>
    </xf>
    <xf numFmtId="0" fontId="9" fillId="0" borderId="0" xfId="0" applyFont="1" applyAlignment="1">
      <alignment horizontal="left" vertical="center"/>
    </xf>
    <xf numFmtId="0" fontId="12" fillId="0" borderId="0" xfId="0" applyFont="1" applyAlignment="1">
      <alignment horizontal="left" vertical="top" indent="1"/>
    </xf>
    <xf numFmtId="0" fontId="0" fillId="0" borderId="0" xfId="0" applyBorder="1"/>
    <xf numFmtId="0" fontId="5" fillId="0" borderId="0" xfId="0" applyFont="1" applyBorder="1"/>
    <xf numFmtId="0" fontId="19" fillId="0" borderId="0" xfId="0" applyFont="1"/>
    <xf numFmtId="0" fontId="5" fillId="0" borderId="0" xfId="0" applyFont="1"/>
    <xf numFmtId="0" fontId="8" fillId="0" borderId="3" xfId="0" applyFont="1" applyFill="1" applyBorder="1" applyAlignment="1">
      <alignment vertical="center"/>
    </xf>
    <xf numFmtId="0" fontId="3" fillId="0" borderId="5" xfId="0" applyFont="1" applyFill="1" applyBorder="1" applyAlignment="1">
      <alignment vertical="center"/>
    </xf>
    <xf numFmtId="0" fontId="2" fillId="0" borderId="17" xfId="0" applyFont="1" applyFill="1" applyBorder="1" applyAlignment="1">
      <alignment vertical="center"/>
    </xf>
    <xf numFmtId="0" fontId="3" fillId="0" borderId="1" xfId="0" applyFont="1" applyFill="1" applyBorder="1" applyAlignment="1">
      <alignment vertical="center"/>
    </xf>
    <xf numFmtId="0" fontId="2" fillId="0" borderId="2" xfId="0" applyNumberFormat="1" applyFont="1" applyFill="1" applyBorder="1" applyAlignment="1">
      <alignment horizontal="left" vertical="center"/>
    </xf>
    <xf numFmtId="0" fontId="7" fillId="0" borderId="2" xfId="0" applyNumberFormat="1" applyFont="1" applyFill="1" applyBorder="1" applyAlignment="1">
      <alignment horizontal="left" vertical="center"/>
    </xf>
    <xf numFmtId="0" fontId="2" fillId="0" borderId="16" xfId="0" applyFont="1" applyFill="1" applyBorder="1" applyAlignment="1">
      <alignment horizontal="left" vertical="center"/>
    </xf>
    <xf numFmtId="0" fontId="2" fillId="0" borderId="4" xfId="0" applyFont="1" applyFill="1" applyBorder="1" applyAlignment="1">
      <alignment horizontal="left" vertical="center"/>
    </xf>
    <xf numFmtId="0" fontId="7" fillId="0" borderId="2" xfId="0" applyFont="1" applyFill="1" applyBorder="1" applyAlignment="1">
      <alignment horizontal="left" vertical="center" indent="1"/>
    </xf>
    <xf numFmtId="0" fontId="5" fillId="0" borderId="33" xfId="0" applyFont="1" applyBorder="1"/>
    <xf numFmtId="0" fontId="5" fillId="0" borderId="33" xfId="0" applyFont="1" applyBorder="1" applyAlignment="1">
      <alignment horizontal="left" indent="2"/>
    </xf>
    <xf numFmtId="0" fontId="5" fillId="0" borderId="0" xfId="0" applyFont="1" applyAlignment="1">
      <alignment horizontal="left"/>
    </xf>
    <xf numFmtId="0" fontId="9" fillId="4" borderId="2" xfId="0" applyFont="1" applyFill="1" applyBorder="1" applyAlignment="1">
      <alignment horizontal="left" vertical="center"/>
    </xf>
    <xf numFmtId="4" fontId="7" fillId="4" borderId="7" xfId="0" applyNumberFormat="1" applyFont="1" applyFill="1" applyBorder="1" applyAlignment="1">
      <alignment horizontal="right" vertical="center"/>
    </xf>
    <xf numFmtId="164" fontId="7" fillId="4" borderId="8" xfId="0" applyNumberFormat="1" applyFont="1" applyFill="1" applyBorder="1" applyAlignment="1">
      <alignment horizontal="right" vertical="center" indent="1"/>
    </xf>
    <xf numFmtId="164" fontId="7" fillId="4" borderId="7" xfId="0" applyNumberFormat="1" applyFont="1" applyFill="1" applyBorder="1" applyAlignment="1">
      <alignment horizontal="right" vertical="center" indent="1"/>
    </xf>
    <xf numFmtId="0" fontId="23" fillId="4" borderId="16" xfId="0" applyFont="1" applyFill="1" applyBorder="1" applyAlignment="1">
      <alignment horizontal="left" vertical="center"/>
    </xf>
    <xf numFmtId="0" fontId="28" fillId="4" borderId="39" xfId="0" applyFont="1" applyFill="1" applyBorder="1" applyAlignment="1">
      <alignment horizontal="left" vertical="center"/>
    </xf>
    <xf numFmtId="0" fontId="34" fillId="4" borderId="3" xfId="0" applyFont="1" applyFill="1" applyBorder="1" applyAlignment="1">
      <alignment horizontal="left" vertical="center"/>
    </xf>
    <xf numFmtId="0" fontId="34" fillId="4" borderId="45" xfId="0" applyFont="1" applyFill="1" applyBorder="1" applyAlignment="1">
      <alignment horizontal="left" vertical="center"/>
    </xf>
    <xf numFmtId="0" fontId="5" fillId="0" borderId="0" xfId="0" applyFont="1" applyAlignment="1">
      <alignment horizontal="left" vertical="top" indent="1"/>
    </xf>
    <xf numFmtId="0" fontId="5" fillId="0" borderId="0" xfId="0" applyFont="1" applyFill="1" applyBorder="1" applyAlignment="1">
      <alignment horizontal="left" vertical="center" indent="1"/>
    </xf>
    <xf numFmtId="0" fontId="27" fillId="0" borderId="0" xfId="0" applyFont="1" applyFill="1" applyBorder="1" applyAlignment="1">
      <alignment horizontal="left" vertical="center" indent="1"/>
    </xf>
    <xf numFmtId="0" fontId="5" fillId="0" borderId="48" xfId="0" applyFont="1" applyBorder="1" applyAlignment="1">
      <alignment horizontal="center"/>
    </xf>
    <xf numFmtId="0" fontId="0" fillId="3" borderId="0" xfId="0" applyFill="1"/>
    <xf numFmtId="0" fontId="12" fillId="3" borderId="0" xfId="0" applyFont="1" applyFill="1" applyAlignment="1">
      <alignment horizontal="center" vertical="center" wrapText="1"/>
    </xf>
    <xf numFmtId="0" fontId="9" fillId="3" borderId="0" xfId="0" applyNumberFormat="1" applyFont="1" applyFill="1" applyBorder="1" applyAlignment="1">
      <alignment horizontal="left" vertical="center" wrapText="1"/>
    </xf>
    <xf numFmtId="0" fontId="9" fillId="3" borderId="0" xfId="0" applyNumberFormat="1" applyFont="1" applyFill="1" applyBorder="1" applyAlignment="1">
      <alignment horizontal="right" vertical="center" wrapText="1" indent="1"/>
    </xf>
    <xf numFmtId="0" fontId="9" fillId="3" borderId="0" xfId="0" applyNumberFormat="1" applyFont="1" applyFill="1" applyBorder="1" applyAlignment="1">
      <alignment horizontal="center" vertical="center" wrapText="1"/>
    </xf>
    <xf numFmtId="0" fontId="6" fillId="0" borderId="0" xfId="0" applyFont="1" applyAlignment="1">
      <alignment horizontal="right"/>
    </xf>
    <xf numFmtId="0" fontId="0" fillId="0" borderId="0" xfId="0" applyProtection="1"/>
    <xf numFmtId="0" fontId="5" fillId="0" borderId="0" xfId="0" applyFont="1" applyProtection="1"/>
    <xf numFmtId="0" fontId="0" fillId="0" borderId="0" xfId="0" applyAlignment="1" applyProtection="1"/>
    <xf numFmtId="0" fontId="5" fillId="0" borderId="0" xfId="0" applyFont="1" applyAlignment="1" applyProtection="1">
      <alignment horizontal="right"/>
    </xf>
    <xf numFmtId="0" fontId="31" fillId="5" borderId="50" xfId="0" applyFont="1" applyFill="1" applyBorder="1" applyAlignment="1" applyProtection="1">
      <alignment horizontal="center"/>
    </xf>
    <xf numFmtId="0" fontId="5" fillId="0" borderId="0" xfId="0" quotePrefix="1" applyFont="1" applyAlignment="1" applyProtection="1"/>
    <xf numFmtId="0" fontId="32" fillId="12" borderId="50" xfId="0" applyFont="1" applyFill="1" applyBorder="1" applyAlignment="1" applyProtection="1">
      <alignment horizontal="center"/>
    </xf>
    <xf numFmtId="0" fontId="33" fillId="13" borderId="50" xfId="0" applyFont="1" applyFill="1" applyBorder="1" applyAlignment="1" applyProtection="1">
      <alignment horizontal="center"/>
    </xf>
    <xf numFmtId="0" fontId="29" fillId="0" borderId="0" xfId="0" applyFont="1" applyProtection="1"/>
    <xf numFmtId="0" fontId="7" fillId="0" borderId="0" xfId="0" applyFont="1" applyAlignment="1" applyProtection="1">
      <alignment horizontal="right"/>
    </xf>
    <xf numFmtId="0" fontId="29" fillId="0" borderId="0" xfId="0" applyFont="1" applyAlignment="1" applyProtection="1">
      <alignment horizontal="right" indent="1"/>
    </xf>
    <xf numFmtId="0" fontId="7" fillId="0" borderId="51" xfId="0" applyFont="1" applyBorder="1" applyAlignment="1" applyProtection="1">
      <alignment horizontal="left" vertical="center" indent="1"/>
    </xf>
    <xf numFmtId="0" fontId="7" fillId="0" borderId="52" xfId="0" applyFont="1" applyBorder="1" applyAlignment="1" applyProtection="1">
      <alignment horizontal="left" vertical="center" indent="1"/>
    </xf>
    <xf numFmtId="15" fontId="7" fillId="0" borderId="52" xfId="0" applyNumberFormat="1" applyFont="1" applyBorder="1" applyAlignment="1" applyProtection="1">
      <alignment horizontal="right" vertical="center" indent="1"/>
    </xf>
    <xf numFmtId="0" fontId="6" fillId="0" borderId="0" xfId="0" applyFont="1" applyAlignment="1" applyProtection="1">
      <alignment horizontal="left"/>
    </xf>
    <xf numFmtId="0" fontId="34" fillId="0" borderId="0" xfId="0" applyFont="1" applyAlignment="1" applyProtection="1">
      <alignment horizontal="left" vertical="top" wrapText="1"/>
    </xf>
    <xf numFmtId="0" fontId="34" fillId="0" borderId="53" xfId="0" applyFont="1" applyBorder="1" applyAlignment="1" applyProtection="1">
      <alignment horizontal="left" vertical="top" wrapText="1"/>
    </xf>
    <xf numFmtId="0" fontId="2" fillId="0" borderId="0" xfId="0" applyFont="1" applyFill="1" applyBorder="1" applyAlignment="1">
      <alignment horizontal="left" vertical="center" indent="2"/>
    </xf>
    <xf numFmtId="0" fontId="41" fillId="0" borderId="0" xfId="0" applyFont="1" applyAlignment="1">
      <alignment horizontal="left"/>
    </xf>
    <xf numFmtId="0" fontId="42" fillId="0" borderId="0" xfId="0" applyFont="1"/>
    <xf numFmtId="0" fontId="5" fillId="0" borderId="55" xfId="0" applyFont="1" applyBorder="1" applyAlignment="1">
      <alignment horizontal="left" indent="2"/>
    </xf>
    <xf numFmtId="0" fontId="9" fillId="0" borderId="33" xfId="0" applyFont="1" applyBorder="1" applyAlignment="1">
      <alignment horizontal="left"/>
    </xf>
    <xf numFmtId="0" fontId="9" fillId="0" borderId="33" xfId="0" applyFont="1" applyBorder="1"/>
    <xf numFmtId="0" fontId="2" fillId="0" borderId="33" xfId="0" applyFont="1" applyBorder="1"/>
    <xf numFmtId="0" fontId="9" fillId="0" borderId="33" xfId="0" applyFont="1" applyBorder="1" applyAlignment="1"/>
    <xf numFmtId="0" fontId="9" fillId="0" borderId="33" xfId="0" applyFont="1" applyBorder="1" applyAlignment="1">
      <alignment horizontal="left" indent="1"/>
    </xf>
    <xf numFmtId="2" fontId="2" fillId="0" borderId="6" xfId="0" applyNumberFormat="1" applyFont="1" applyFill="1" applyBorder="1" applyAlignment="1">
      <alignment horizontal="right" vertical="center" indent="1"/>
    </xf>
    <xf numFmtId="4" fontId="3" fillId="0" borderId="6" xfId="0" applyNumberFormat="1" applyFont="1" applyFill="1" applyBorder="1" applyAlignment="1">
      <alignment horizontal="right" vertical="center" indent="1"/>
    </xf>
    <xf numFmtId="164" fontId="7" fillId="0" borderId="7" xfId="0" applyNumberFormat="1" applyFont="1" applyFill="1" applyBorder="1" applyAlignment="1">
      <alignment horizontal="right" vertical="center" indent="1"/>
    </xf>
    <xf numFmtId="4" fontId="7" fillId="0" borderId="7" xfId="0" applyNumberFormat="1" applyFont="1" applyFill="1" applyBorder="1" applyAlignment="1">
      <alignment horizontal="right" vertical="center" indent="1"/>
    </xf>
    <xf numFmtId="165" fontId="7" fillId="0" borderId="7" xfId="0" applyNumberFormat="1" applyFont="1" applyFill="1" applyBorder="1" applyAlignment="1">
      <alignment horizontal="right" vertical="center" indent="1"/>
    </xf>
    <xf numFmtId="2" fontId="7" fillId="0" borderId="7" xfId="0" applyNumberFormat="1" applyFont="1" applyFill="1" applyBorder="1" applyAlignment="1">
      <alignment horizontal="right" vertical="center" indent="1"/>
    </xf>
    <xf numFmtId="0" fontId="7" fillId="2" borderId="11" xfId="0" applyNumberFormat="1" applyFont="1" applyFill="1" applyBorder="1" applyAlignment="1">
      <alignment horizontal="right" vertical="center" indent="1"/>
    </xf>
    <xf numFmtId="4" fontId="2" fillId="0" borderId="7" xfId="0" applyNumberFormat="1" applyFont="1" applyFill="1" applyBorder="1" applyAlignment="1">
      <alignment horizontal="right" vertical="center" indent="1"/>
    </xf>
    <xf numFmtId="0" fontId="7" fillId="2" borderId="10" xfId="0" applyNumberFormat="1" applyFont="1" applyFill="1" applyBorder="1" applyAlignment="1">
      <alignment horizontal="right" vertical="center" indent="1"/>
    </xf>
    <xf numFmtId="0" fontId="7" fillId="2" borderId="46" xfId="0" applyNumberFormat="1" applyFont="1" applyFill="1" applyBorder="1" applyAlignment="1">
      <alignment horizontal="right" vertical="center" indent="1"/>
    </xf>
    <xf numFmtId="0" fontId="37" fillId="0" borderId="48" xfId="0" applyFont="1" applyBorder="1" applyAlignment="1">
      <alignment horizontal="center" vertical="center" wrapText="1"/>
    </xf>
    <xf numFmtId="0" fontId="37" fillId="0" borderId="56" xfId="0" applyFont="1" applyBorder="1" applyAlignment="1">
      <alignment horizontal="center" vertical="center" wrapText="1"/>
    </xf>
    <xf numFmtId="169" fontId="39" fillId="14" borderId="58" xfId="0" applyNumberFormat="1" applyFont="1" applyFill="1" applyBorder="1" applyAlignment="1" applyProtection="1">
      <alignment horizontal="center"/>
    </xf>
    <xf numFmtId="0" fontId="33" fillId="15" borderId="50" xfId="0" applyFont="1" applyFill="1" applyBorder="1" applyAlignment="1" applyProtection="1">
      <alignment horizontal="center"/>
    </xf>
    <xf numFmtId="0" fontId="4" fillId="0" borderId="0" xfId="0" applyFont="1" applyAlignment="1" applyProtection="1">
      <alignment horizontal="right"/>
    </xf>
    <xf numFmtId="0" fontId="0" fillId="0" borderId="0" xfId="0" applyBorder="1" applyProtection="1"/>
    <xf numFmtId="0" fontId="5" fillId="4" borderId="34" xfId="0" applyFont="1" applyFill="1" applyBorder="1" applyAlignment="1">
      <alignment horizontal="center"/>
    </xf>
    <xf numFmtId="3" fontId="1" fillId="5" borderId="34" xfId="0" applyNumberFormat="1" applyFont="1" applyFill="1" applyBorder="1" applyAlignment="1">
      <alignment horizontal="right"/>
    </xf>
    <xf numFmtId="0" fontId="1" fillId="0" borderId="63" xfId="0" applyFont="1" applyBorder="1" applyAlignment="1">
      <alignment horizontal="right"/>
    </xf>
    <xf numFmtId="0" fontId="5" fillId="0" borderId="64" xfId="0" applyFont="1" applyBorder="1"/>
    <xf numFmtId="0" fontId="5" fillId="0" borderId="64" xfId="0" applyFont="1" applyBorder="1" applyAlignment="1">
      <alignment horizontal="left" indent="1"/>
    </xf>
    <xf numFmtId="3" fontId="1" fillId="8" borderId="34" xfId="0" applyNumberFormat="1" applyFont="1" applyFill="1" applyBorder="1" applyAlignment="1">
      <alignment horizontal="right"/>
    </xf>
    <xf numFmtId="3" fontId="9" fillId="0" borderId="34" xfId="0" applyNumberFormat="1" applyFont="1" applyFill="1" applyBorder="1" applyAlignment="1">
      <alignment horizontal="right"/>
    </xf>
    <xf numFmtId="0" fontId="5" fillId="0" borderId="0" xfId="0" applyFont="1" applyAlignment="1" applyProtection="1"/>
    <xf numFmtId="0" fontId="11" fillId="0" borderId="0" xfId="0" applyFont="1" applyProtection="1"/>
    <xf numFmtId="4" fontId="7" fillId="4" borderId="7" xfId="0" applyNumberFormat="1" applyFont="1" applyFill="1" applyBorder="1" applyAlignment="1">
      <alignment horizontal="right" vertical="center" indent="1"/>
    </xf>
    <xf numFmtId="164" fontId="7" fillId="16" borderId="11" xfId="0" applyNumberFormat="1" applyFont="1" applyFill="1" applyBorder="1" applyAlignment="1">
      <alignment horizontal="right" vertical="center" indent="1"/>
    </xf>
    <xf numFmtId="164" fontId="7" fillId="16" borderId="66" xfId="0" applyNumberFormat="1" applyFont="1" applyFill="1" applyBorder="1" applyAlignment="1">
      <alignment horizontal="right" vertical="center"/>
    </xf>
    <xf numFmtId="165" fontId="24" fillId="4" borderId="68" xfId="0" applyNumberFormat="1" applyFont="1" applyFill="1" applyBorder="1" applyAlignment="1">
      <alignment horizontal="right" vertical="center" indent="1"/>
    </xf>
    <xf numFmtId="164" fontId="2" fillId="4" borderId="68" xfId="0" applyNumberFormat="1" applyFont="1" applyFill="1" applyBorder="1" applyAlignment="1">
      <alignment horizontal="right" vertical="center" indent="1"/>
    </xf>
    <xf numFmtId="0" fontId="2" fillId="0" borderId="17" xfId="0" applyNumberFormat="1" applyFont="1" applyFill="1" applyBorder="1" applyAlignment="1">
      <alignment vertical="center"/>
    </xf>
    <xf numFmtId="165" fontId="2" fillId="0" borderId="6" xfId="0" applyNumberFormat="1" applyFont="1" applyFill="1" applyBorder="1" applyAlignment="1">
      <alignment horizontal="right" vertical="center"/>
    </xf>
    <xf numFmtId="2" fontId="2" fillId="0" borderId="6" xfId="0" applyNumberFormat="1" applyFont="1" applyFill="1" applyBorder="1" applyAlignment="1">
      <alignment horizontal="right" vertical="center"/>
    </xf>
    <xf numFmtId="4" fontId="3" fillId="0" borderId="6" xfId="0" applyNumberFormat="1" applyFont="1" applyFill="1" applyBorder="1" applyAlignment="1">
      <alignment horizontal="right" vertical="center"/>
    </xf>
    <xf numFmtId="0" fontId="7" fillId="0" borderId="2" xfId="0" applyNumberFormat="1" applyFont="1" applyFill="1" applyBorder="1" applyAlignment="1">
      <alignment vertical="center"/>
    </xf>
    <xf numFmtId="165" fontId="15" fillId="0" borderId="7" xfId="0" applyNumberFormat="1" applyFont="1" applyFill="1" applyBorder="1" applyAlignment="1">
      <alignment horizontal="right" vertical="center"/>
    </xf>
    <xf numFmtId="164" fontId="7" fillId="0" borderId="7" xfId="0" applyNumberFormat="1" applyFont="1" applyFill="1" applyBorder="1" applyAlignment="1">
      <alignment horizontal="right" vertical="center"/>
    </xf>
    <xf numFmtId="2" fontId="7" fillId="0" borderId="7" xfId="0" applyNumberFormat="1" applyFont="1" applyFill="1" applyBorder="1" applyAlignment="1">
      <alignment horizontal="right" vertical="center"/>
    </xf>
    <xf numFmtId="165" fontId="7" fillId="0" borderId="8" xfId="0" applyNumberFormat="1" applyFont="1" applyFill="1" applyBorder="1" applyAlignment="1">
      <alignment horizontal="right" vertical="center"/>
    </xf>
    <xf numFmtId="4" fontId="7" fillId="0" borderId="7" xfId="0" applyNumberFormat="1" applyFont="1" applyFill="1" applyBorder="1" applyAlignment="1">
      <alignment horizontal="right" vertical="center"/>
    </xf>
    <xf numFmtId="165" fontId="2" fillId="0" borderId="13" xfId="0" applyNumberFormat="1" applyFont="1" applyFill="1" applyBorder="1" applyAlignment="1">
      <alignment horizontal="right" vertical="center"/>
    </xf>
    <xf numFmtId="0" fontId="7" fillId="2" borderId="11" xfId="0" applyNumberFormat="1" applyFont="1" applyFill="1" applyBorder="1" applyAlignment="1">
      <alignment horizontal="right" vertical="center"/>
    </xf>
    <xf numFmtId="4" fontId="2" fillId="0" borderId="7" xfId="0" applyNumberFormat="1" applyFont="1" applyFill="1" applyBorder="1" applyAlignment="1">
      <alignment horizontal="right" vertical="center"/>
    </xf>
    <xf numFmtId="0" fontId="8" fillId="0" borderId="3" xfId="0" applyFont="1" applyFill="1" applyBorder="1" applyAlignment="1">
      <alignment horizontal="left" vertical="center"/>
    </xf>
    <xf numFmtId="0" fontId="7" fillId="2" borderId="9" xfId="0" applyNumberFormat="1" applyFont="1" applyFill="1" applyBorder="1" applyAlignment="1">
      <alignment horizontal="right" vertical="center"/>
    </xf>
    <xf numFmtId="164" fontId="7" fillId="0" borderId="13" xfId="0" applyNumberFormat="1" applyFont="1" applyFill="1" applyBorder="1" applyAlignment="1">
      <alignment horizontal="right" vertical="center"/>
    </xf>
    <xf numFmtId="0" fontId="7" fillId="2" borderId="10" xfId="0" applyNumberFormat="1" applyFont="1" applyFill="1" applyBorder="1" applyAlignment="1">
      <alignment horizontal="right" vertical="center"/>
    </xf>
    <xf numFmtId="0" fontId="9" fillId="17" borderId="36" xfId="0" applyFont="1" applyFill="1" applyBorder="1" applyAlignment="1">
      <alignment horizontal="left" vertical="center"/>
    </xf>
    <xf numFmtId="164" fontId="7" fillId="4" borderId="8" xfId="0" applyNumberFormat="1" applyFont="1" applyFill="1" applyBorder="1" applyAlignment="1">
      <alignment horizontal="right" vertical="center"/>
    </xf>
    <xf numFmtId="164" fontId="7" fillId="4" borderId="69" xfId="0" applyNumberFormat="1" applyFont="1" applyFill="1" applyBorder="1" applyAlignment="1">
      <alignment horizontal="right" vertical="center"/>
    </xf>
    <xf numFmtId="2" fontId="7" fillId="4" borderId="7" xfId="0" applyNumberFormat="1" applyFont="1" applyFill="1" applyBorder="1" applyAlignment="1">
      <alignment horizontal="right" vertical="center"/>
    </xf>
    <xf numFmtId="0" fontId="4" fillId="17" borderId="18" xfId="0" applyFont="1" applyFill="1" applyBorder="1" applyAlignment="1">
      <alignment horizontal="left" vertical="center"/>
    </xf>
    <xf numFmtId="165" fontId="17" fillId="4" borderId="70" xfId="0" applyNumberFormat="1" applyFont="1" applyFill="1" applyBorder="1" applyAlignment="1">
      <alignment horizontal="right" vertical="center"/>
    </xf>
    <xf numFmtId="4" fontId="7" fillId="18" borderId="8" xfId="0" applyNumberFormat="1" applyFont="1" applyFill="1" applyBorder="1" applyAlignment="1">
      <alignment horizontal="right" vertical="center"/>
    </xf>
    <xf numFmtId="0" fontId="4" fillId="17" borderId="19" xfId="0" applyFont="1" applyFill="1" applyBorder="1" applyAlignment="1">
      <alignment horizontal="left" vertical="center"/>
    </xf>
    <xf numFmtId="0" fontId="7" fillId="2" borderId="66" xfId="0" applyNumberFormat="1" applyFont="1" applyFill="1" applyBorder="1" applyAlignment="1">
      <alignment horizontal="right" vertical="center"/>
    </xf>
    <xf numFmtId="164" fontId="7" fillId="4" borderId="70" xfId="0" applyNumberFormat="1" applyFont="1" applyFill="1" applyBorder="1" applyAlignment="1">
      <alignment horizontal="right" vertical="center"/>
    </xf>
    <xf numFmtId="0" fontId="7" fillId="2" borderId="67" xfId="0" applyNumberFormat="1" applyFont="1" applyFill="1" applyBorder="1" applyAlignment="1">
      <alignment horizontal="right" vertical="center"/>
    </xf>
    <xf numFmtId="0" fontId="7" fillId="0" borderId="2" xfId="0" applyFont="1" applyFill="1" applyBorder="1" applyAlignment="1">
      <alignment vertical="center"/>
    </xf>
    <xf numFmtId="165" fontId="2" fillId="0" borderId="13" xfId="0" applyNumberFormat="1" applyFont="1" applyFill="1" applyBorder="1" applyAlignment="1">
      <alignment horizontal="right" vertical="center" indent="1"/>
    </xf>
    <xf numFmtId="0" fontId="7" fillId="2" borderId="9" xfId="0" applyNumberFormat="1" applyFont="1" applyFill="1" applyBorder="1" applyAlignment="1">
      <alignment horizontal="right" vertical="center" indent="1"/>
    </xf>
    <xf numFmtId="164" fontId="2" fillId="0" borderId="13" xfId="0" applyNumberFormat="1" applyFont="1" applyFill="1" applyBorder="1" applyAlignment="1">
      <alignment horizontal="right" vertical="center" indent="1"/>
    </xf>
    <xf numFmtId="0" fontId="40" fillId="0" borderId="0" xfId="0" applyFont="1" applyAlignment="1">
      <alignment horizontal="center" vertical="center" wrapText="1"/>
    </xf>
    <xf numFmtId="0" fontId="5" fillId="0" borderId="0" xfId="0" applyFont="1" applyAlignment="1">
      <alignment horizontal="center"/>
    </xf>
    <xf numFmtId="168" fontId="25" fillId="3" borderId="71" xfId="0" applyNumberFormat="1" applyFont="1" applyFill="1" applyBorder="1" applyAlignment="1">
      <alignment horizontal="center" vertical="center"/>
    </xf>
    <xf numFmtId="0" fontId="25" fillId="3" borderId="71" xfId="0" applyFont="1" applyFill="1" applyBorder="1" applyAlignment="1">
      <alignment horizontal="center" vertical="center"/>
    </xf>
    <xf numFmtId="0" fontId="9" fillId="3" borderId="0" xfId="0" applyNumberFormat="1" applyFont="1" applyFill="1" applyBorder="1" applyAlignment="1">
      <alignment horizontal="left" vertical="center" wrapText="1" indent="1"/>
    </xf>
    <xf numFmtId="0" fontId="5" fillId="3" borderId="0" xfId="0" applyFont="1" applyFill="1" applyAlignment="1">
      <alignment horizontal="left" indent="1"/>
    </xf>
    <xf numFmtId="0" fontId="26" fillId="0" borderId="0" xfId="0" applyFont="1" applyFill="1" applyBorder="1" applyAlignment="1">
      <alignment horizontal="left"/>
    </xf>
    <xf numFmtId="0" fontId="1" fillId="5" borderId="50" xfId="0" applyFont="1" applyFill="1" applyBorder="1" applyAlignment="1" applyProtection="1">
      <alignment horizontal="center" vertical="center"/>
      <protection locked="0"/>
    </xf>
    <xf numFmtId="0" fontId="27" fillId="0" borderId="0" xfId="0" applyFont="1" applyAlignment="1">
      <alignment horizontal="right" vertical="center" wrapText="1"/>
    </xf>
    <xf numFmtId="0" fontId="48" fillId="0" borderId="0" xfId="0" applyFont="1" applyAlignment="1">
      <alignment horizontal="center"/>
    </xf>
    <xf numFmtId="0" fontId="12" fillId="0" borderId="0" xfId="0" applyFont="1" applyAlignment="1">
      <alignment horizontal="left" indent="1"/>
    </xf>
    <xf numFmtId="0" fontId="27" fillId="0" borderId="0" xfId="0" applyFont="1" applyAlignment="1">
      <alignment horizontal="right" vertical="center"/>
    </xf>
    <xf numFmtId="0" fontId="49" fillId="0" borderId="0" xfId="0" applyFont="1" applyAlignment="1" applyProtection="1">
      <alignment horizontal="center"/>
    </xf>
    <xf numFmtId="0" fontId="50" fillId="0" borderId="72" xfId="0" quotePrefix="1" applyFont="1" applyBorder="1" applyAlignment="1">
      <alignment horizontal="left" vertical="center"/>
    </xf>
    <xf numFmtId="0" fontId="51" fillId="0" borderId="0" xfId="0" applyFont="1" applyAlignment="1" applyProtection="1">
      <alignment horizontal="left" indent="1"/>
    </xf>
    <xf numFmtId="0" fontId="54" fillId="0" borderId="0" xfId="0" applyFont="1" applyAlignment="1" applyProtection="1">
      <alignment horizontal="right"/>
    </xf>
    <xf numFmtId="0" fontId="55" fillId="0" borderId="104" xfId="0" applyFont="1" applyBorder="1" applyAlignment="1" applyProtection="1">
      <alignment horizontal="center"/>
      <protection locked="0"/>
    </xf>
    <xf numFmtId="0" fontId="4" fillId="0" borderId="0" xfId="0" applyFont="1" applyAlignment="1">
      <alignment horizontal="center" wrapText="1"/>
    </xf>
    <xf numFmtId="0" fontId="4" fillId="0" borderId="0" xfId="0" applyFont="1" applyAlignment="1"/>
    <xf numFmtId="0" fontId="0" fillId="0" borderId="0" xfId="0" applyAlignment="1">
      <alignment vertical="center"/>
    </xf>
    <xf numFmtId="0" fontId="4" fillId="0" borderId="0" xfId="0" applyFont="1" applyAlignment="1">
      <alignment horizontal="left" wrapText="1"/>
    </xf>
    <xf numFmtId="0" fontId="55" fillId="0" borderId="105" xfId="0" applyFont="1" applyBorder="1" applyAlignment="1">
      <alignment horizontal="center" vertical="center"/>
    </xf>
    <xf numFmtId="0" fontId="0" fillId="20" borderId="0" xfId="0" applyFill="1" applyAlignment="1">
      <alignment vertical="center"/>
    </xf>
    <xf numFmtId="0" fontId="4" fillId="21" borderId="106" xfId="0" applyFont="1" applyFill="1" applyBorder="1" applyAlignment="1">
      <alignment horizontal="center" wrapText="1"/>
    </xf>
    <xf numFmtId="0" fontId="4" fillId="21" borderId="107" xfId="0" applyFont="1" applyFill="1" applyBorder="1" applyAlignment="1">
      <alignment horizontal="center" wrapText="1"/>
    </xf>
    <xf numFmtId="0" fontId="1" fillId="0" borderId="0" xfId="0" applyFont="1" applyFill="1" applyBorder="1" applyAlignment="1">
      <alignment horizontal="center" vertical="top" wrapText="1"/>
    </xf>
    <xf numFmtId="0" fontId="4" fillId="0" borderId="0" xfId="0" applyFont="1" applyBorder="1" applyAlignment="1">
      <alignment vertical="top" wrapText="1"/>
    </xf>
    <xf numFmtId="0" fontId="44" fillId="0" borderId="74" xfId="0" applyFont="1" applyFill="1" applyBorder="1" applyAlignment="1">
      <alignment vertical="center"/>
    </xf>
    <xf numFmtId="0" fontId="44" fillId="0" borderId="39" xfId="0" applyFont="1" applyFill="1" applyBorder="1" applyAlignment="1">
      <alignment vertical="center"/>
    </xf>
    <xf numFmtId="0" fontId="1" fillId="0" borderId="75" xfId="0" applyFont="1" applyFill="1" applyBorder="1" applyAlignment="1">
      <alignment vertical="center"/>
    </xf>
    <xf numFmtId="0" fontId="1" fillId="0" borderId="43" xfId="0" applyFont="1" applyFill="1" applyBorder="1" applyAlignment="1">
      <alignment vertical="center"/>
    </xf>
    <xf numFmtId="0" fontId="7" fillId="0" borderId="75" xfId="0" applyFont="1" applyFill="1" applyBorder="1" applyAlignment="1">
      <alignment vertical="center"/>
    </xf>
    <xf numFmtId="0" fontId="7" fillId="0" borderId="43" xfId="0" applyFont="1" applyFill="1" applyBorder="1" applyAlignment="1">
      <alignment vertical="center"/>
    </xf>
    <xf numFmtId="3" fontId="7" fillId="0" borderId="76" xfId="0" applyNumberFormat="1" applyFont="1" applyFill="1" applyBorder="1" applyAlignment="1">
      <alignment horizontal="right" vertical="center" indent="1"/>
    </xf>
    <xf numFmtId="3" fontId="2" fillId="0" borderId="75" xfId="0" applyNumberFormat="1" applyFont="1" applyFill="1" applyBorder="1" applyAlignment="1">
      <alignment horizontal="right" vertical="center" indent="1"/>
    </xf>
    <xf numFmtId="3" fontId="7" fillId="0" borderId="75" xfId="0" applyNumberFormat="1" applyFont="1" applyFill="1" applyBorder="1" applyAlignment="1">
      <alignment horizontal="right" vertical="center" indent="1"/>
    </xf>
    <xf numFmtId="3" fontId="7" fillId="0" borderId="76" xfId="0" applyNumberFormat="1" applyFont="1" applyFill="1" applyBorder="1" applyAlignment="1">
      <alignment horizontal="center" vertical="center"/>
    </xf>
    <xf numFmtId="3" fontId="7" fillId="0" borderId="75" xfId="0" applyNumberFormat="1" applyFont="1" applyFill="1" applyBorder="1" applyAlignment="1">
      <alignment horizontal="center" vertical="center"/>
    </xf>
    <xf numFmtId="3" fontId="2" fillId="0" borderId="108" xfId="0" applyNumberFormat="1" applyFont="1" applyFill="1" applyBorder="1" applyAlignment="1">
      <alignment horizontal="right" vertical="center" indent="1"/>
    </xf>
    <xf numFmtId="3" fontId="2" fillId="0" borderId="109" xfId="0" applyNumberFormat="1" applyFont="1" applyFill="1" applyBorder="1" applyAlignment="1">
      <alignment horizontal="right" vertical="center" indent="1"/>
    </xf>
    <xf numFmtId="3" fontId="7" fillId="0" borderId="66" xfId="0" applyNumberFormat="1" applyFont="1" applyFill="1" applyBorder="1" applyAlignment="1">
      <alignment horizontal="right" vertical="center" indent="1"/>
    </xf>
    <xf numFmtId="3" fontId="2" fillId="0" borderId="43" xfId="0" applyNumberFormat="1" applyFont="1" applyFill="1" applyBorder="1" applyAlignment="1">
      <alignment horizontal="right" vertical="center" indent="1"/>
    </xf>
    <xf numFmtId="3" fontId="7" fillId="0" borderId="43" xfId="0" applyNumberFormat="1" applyFont="1" applyFill="1" applyBorder="1" applyAlignment="1">
      <alignment horizontal="right" vertical="center" indent="1"/>
    </xf>
    <xf numFmtId="3" fontId="7" fillId="0" borderId="66" xfId="0" applyNumberFormat="1" applyFont="1" applyFill="1" applyBorder="1" applyAlignment="1">
      <alignment horizontal="center" vertical="center"/>
    </xf>
    <xf numFmtId="3" fontId="7" fillId="0" borderId="43" xfId="0" applyNumberFormat="1" applyFont="1" applyFill="1" applyBorder="1" applyAlignment="1">
      <alignment horizontal="center" vertical="center"/>
    </xf>
    <xf numFmtId="3" fontId="2" fillId="0" borderId="110" xfId="0" applyNumberFormat="1" applyFont="1" applyFill="1" applyBorder="1" applyAlignment="1">
      <alignment horizontal="right" vertical="center" indent="1"/>
    </xf>
    <xf numFmtId="3" fontId="2" fillId="0" borderId="111" xfId="0" applyNumberFormat="1" applyFont="1" applyFill="1" applyBorder="1" applyAlignment="1">
      <alignment horizontal="right" vertical="center" indent="1"/>
    </xf>
    <xf numFmtId="3" fontId="2" fillId="0" borderId="112" xfId="0" applyNumberFormat="1" applyFont="1" applyFill="1" applyBorder="1" applyAlignment="1">
      <alignment horizontal="right" vertical="center" indent="1"/>
    </xf>
    <xf numFmtId="3" fontId="2" fillId="0" borderId="113" xfId="0" applyNumberFormat="1" applyFont="1" applyFill="1" applyBorder="1" applyAlignment="1">
      <alignment horizontal="right" vertical="center" indent="1"/>
    </xf>
    <xf numFmtId="0" fontId="4" fillId="0" borderId="0" xfId="0" applyFont="1" applyBorder="1" applyAlignment="1">
      <alignment horizontal="center" wrapText="1"/>
    </xf>
    <xf numFmtId="0" fontId="4" fillId="0" borderId="0" xfId="0" applyFont="1" applyBorder="1" applyAlignment="1">
      <alignment horizontal="center" vertical="center" wrapText="1"/>
    </xf>
    <xf numFmtId="0" fontId="5" fillId="0" borderId="0" xfId="0" applyFont="1" applyAlignment="1">
      <alignment horizontal="left" vertical="top" wrapText="1"/>
    </xf>
    <xf numFmtId="0" fontId="52" fillId="0" borderId="0" xfId="0" applyFont="1" applyAlignment="1">
      <alignment horizontal="left"/>
    </xf>
    <xf numFmtId="0" fontId="56" fillId="0" borderId="0" xfId="0" applyFont="1" applyAlignment="1">
      <alignment horizontal="left" vertical="top" wrapText="1" indent="3"/>
    </xf>
    <xf numFmtId="0" fontId="4" fillId="0" borderId="0" xfId="0" applyFont="1" applyAlignment="1">
      <alignment horizontal="center" vertical="center"/>
    </xf>
    <xf numFmtId="0" fontId="5" fillId="3" borderId="0" xfId="0" applyFont="1" applyFill="1"/>
    <xf numFmtId="0" fontId="7" fillId="4" borderId="2" xfId="0" applyFont="1" applyFill="1" applyBorder="1" applyAlignment="1">
      <alignment horizontal="left" vertical="center"/>
    </xf>
    <xf numFmtId="0" fontId="8" fillId="4" borderId="3" xfId="0" applyFont="1" applyFill="1" applyBorder="1" applyAlignment="1">
      <alignment vertical="center"/>
    </xf>
    <xf numFmtId="165" fontId="15" fillId="4" borderId="7" xfId="0" applyNumberFormat="1" applyFont="1" applyFill="1" applyBorder="1" applyAlignment="1">
      <alignment horizontal="right" vertical="center" indent="1"/>
    </xf>
    <xf numFmtId="165" fontId="58" fillId="0" borderId="6" xfId="0" applyNumberFormat="1" applyFont="1" applyFill="1" applyBorder="1" applyAlignment="1">
      <alignment horizontal="right" vertical="center" indent="1"/>
    </xf>
    <xf numFmtId="165" fontId="58" fillId="0" borderId="7" xfId="0" applyNumberFormat="1" applyFont="1" applyFill="1" applyBorder="1" applyAlignment="1">
      <alignment horizontal="right" vertical="center" indent="1"/>
    </xf>
    <xf numFmtId="0" fontId="60" fillId="23" borderId="117" xfId="0" applyFont="1" applyFill="1" applyBorder="1" applyAlignment="1">
      <alignment horizontal="center" vertical="center"/>
    </xf>
    <xf numFmtId="3" fontId="16" fillId="25" borderId="0" xfId="0" applyNumberFormat="1" applyFont="1" applyFill="1" applyBorder="1" applyAlignment="1" applyProtection="1">
      <alignment horizontal="left" vertical="center"/>
      <protection locked="0"/>
    </xf>
    <xf numFmtId="0" fontId="0" fillId="0" borderId="0" xfId="0" applyFill="1" applyBorder="1"/>
    <xf numFmtId="0" fontId="0" fillId="0" borderId="121" xfId="0" applyFill="1" applyBorder="1"/>
    <xf numFmtId="0" fontId="0" fillId="0" borderId="122" xfId="0" applyFill="1" applyBorder="1"/>
    <xf numFmtId="0" fontId="0" fillId="0" borderId="123" xfId="0" applyFill="1" applyBorder="1"/>
    <xf numFmtId="0" fontId="5" fillId="0" borderId="123" xfId="0" applyFont="1" applyFill="1" applyBorder="1" applyAlignment="1">
      <alignment horizontal="center"/>
    </xf>
    <xf numFmtId="0" fontId="0" fillId="0" borderId="124" xfId="0" applyFill="1" applyBorder="1"/>
    <xf numFmtId="0" fontId="0" fillId="0" borderId="125" xfId="0" applyFill="1" applyBorder="1"/>
    <xf numFmtId="164" fontId="16" fillId="25" borderId="126" xfId="0" applyNumberFormat="1" applyFont="1" applyFill="1" applyBorder="1" applyAlignment="1" applyProtection="1">
      <alignment horizontal="left" vertical="center"/>
      <protection locked="0"/>
    </xf>
    <xf numFmtId="0" fontId="0" fillId="0" borderId="124" xfId="0" applyBorder="1"/>
    <xf numFmtId="0" fontId="0" fillId="0" borderId="127" xfId="0" applyBorder="1"/>
    <xf numFmtId="3" fontId="27" fillId="24" borderId="59" xfId="0" applyNumberFormat="1" applyFont="1" applyFill="1" applyBorder="1" applyProtection="1">
      <protection locked="0"/>
    </xf>
    <xf numFmtId="3" fontId="27" fillId="24" borderId="60" xfId="0" applyNumberFormat="1" applyFont="1" applyFill="1" applyBorder="1" applyProtection="1">
      <protection locked="0"/>
    </xf>
    <xf numFmtId="3" fontId="5" fillId="26" borderId="30" xfId="0" applyNumberFormat="1" applyFont="1" applyFill="1" applyBorder="1"/>
    <xf numFmtId="0" fontId="5" fillId="26" borderId="29" xfId="0" applyFont="1" applyFill="1" applyBorder="1"/>
    <xf numFmtId="0" fontId="5" fillId="26" borderId="42" xfId="0" applyFont="1" applyFill="1" applyBorder="1"/>
    <xf numFmtId="164" fontId="27" fillId="26" borderId="59" xfId="0" applyNumberFormat="1" applyFont="1" applyFill="1" applyBorder="1" applyProtection="1">
      <protection locked="0"/>
    </xf>
    <xf numFmtId="164" fontId="27" fillId="26" borderId="60" xfId="0" applyNumberFormat="1" applyFont="1" applyFill="1" applyBorder="1" applyProtection="1">
      <protection locked="0"/>
    </xf>
    <xf numFmtId="164" fontId="5" fillId="26" borderId="0" xfId="0" applyNumberFormat="1" applyFont="1" applyFill="1" applyBorder="1"/>
    <xf numFmtId="166" fontId="5" fillId="26" borderId="0" xfId="0" applyNumberFormat="1" applyFont="1" applyFill="1" applyBorder="1"/>
    <xf numFmtId="165" fontId="16" fillId="26" borderId="0" xfId="0" applyNumberFormat="1" applyFont="1" applyFill="1" applyBorder="1"/>
    <xf numFmtId="164" fontId="16" fillId="22" borderId="61" xfId="0" applyNumberFormat="1" applyFont="1" applyFill="1" applyBorder="1" applyAlignment="1">
      <alignment horizontal="right"/>
    </xf>
    <xf numFmtId="0" fontId="16" fillId="26" borderId="14" xfId="0" applyFont="1" applyFill="1" applyBorder="1" applyAlignment="1" applyProtection="1">
      <alignment horizontal="right"/>
    </xf>
    <xf numFmtId="164" fontId="5" fillId="26" borderId="43" xfId="0" applyNumberFormat="1" applyFont="1" applyFill="1" applyBorder="1"/>
    <xf numFmtId="166" fontId="5" fillId="26" borderId="43" xfId="0" applyNumberFormat="1" applyFont="1" applyFill="1" applyBorder="1"/>
    <xf numFmtId="165" fontId="16" fillId="26" borderId="43" xfId="0" applyNumberFormat="1" applyFont="1" applyFill="1" applyBorder="1"/>
    <xf numFmtId="0" fontId="16" fillId="26" borderId="44" xfId="0" applyFont="1" applyFill="1" applyBorder="1" applyAlignment="1" applyProtection="1">
      <alignment horizontal="right"/>
    </xf>
    <xf numFmtId="3" fontId="16" fillId="25" borderId="21" xfId="0" applyNumberFormat="1" applyFont="1" applyFill="1" applyBorder="1" applyProtection="1">
      <protection locked="0"/>
    </xf>
    <xf numFmtId="3" fontId="16" fillId="25" borderId="22" xfId="0" applyNumberFormat="1" applyFont="1" applyFill="1" applyBorder="1" applyProtection="1">
      <protection locked="0"/>
    </xf>
    <xf numFmtId="3" fontId="16" fillId="25" borderId="20" xfId="0" applyNumberFormat="1" applyFont="1" applyFill="1" applyBorder="1" applyProtection="1">
      <protection locked="0"/>
    </xf>
    <xf numFmtId="3" fontId="16" fillId="25" borderId="41" xfId="0" applyNumberFormat="1" applyFont="1" applyFill="1" applyBorder="1" applyProtection="1">
      <protection locked="0"/>
    </xf>
    <xf numFmtId="164" fontId="16" fillId="25" borderId="21" xfId="0" applyNumberFormat="1" applyFont="1" applyFill="1" applyBorder="1" applyProtection="1">
      <protection locked="0"/>
    </xf>
    <xf numFmtId="164" fontId="16" fillId="25" borderId="22" xfId="0" applyNumberFormat="1" applyFont="1" applyFill="1" applyBorder="1" applyProtection="1">
      <protection locked="0"/>
    </xf>
    <xf numFmtId="164" fontId="16" fillId="25" borderId="20" xfId="0" applyNumberFormat="1" applyFont="1" applyFill="1" applyBorder="1" applyProtection="1">
      <protection locked="0"/>
    </xf>
    <xf numFmtId="164" fontId="16" fillId="25" borderId="41" xfId="0" applyNumberFormat="1" applyFont="1" applyFill="1" applyBorder="1" applyProtection="1">
      <protection locked="0"/>
    </xf>
    <xf numFmtId="0" fontId="0" fillId="0" borderId="128" xfId="0" applyFill="1" applyBorder="1"/>
    <xf numFmtId="0" fontId="0" fillId="0" borderId="129" xfId="0" applyBorder="1"/>
    <xf numFmtId="0" fontId="0" fillId="0" borderId="130" xfId="0" applyFill="1" applyBorder="1"/>
    <xf numFmtId="0" fontId="0" fillId="0" borderId="131" xfId="0" applyFill="1" applyBorder="1"/>
    <xf numFmtId="0" fontId="0" fillId="0" borderId="132" xfId="0" applyBorder="1"/>
    <xf numFmtId="0" fontId="0" fillId="0" borderId="131" xfId="0" applyBorder="1"/>
    <xf numFmtId="0" fontId="0" fillId="0" borderId="133" xfId="0" applyBorder="1"/>
    <xf numFmtId="164" fontId="16" fillId="25" borderId="134" xfId="0" applyNumberFormat="1" applyFont="1" applyFill="1" applyBorder="1" applyAlignment="1" applyProtection="1">
      <alignment horizontal="left" vertical="center"/>
      <protection locked="0"/>
    </xf>
    <xf numFmtId="0" fontId="10" fillId="27" borderId="74" xfId="0" applyFont="1" applyFill="1" applyBorder="1" applyAlignment="1">
      <alignment horizontal="center"/>
    </xf>
    <xf numFmtId="0" fontId="6" fillId="0" borderId="0" xfId="0" applyFont="1" applyAlignment="1">
      <alignment horizontal="left" vertical="center"/>
    </xf>
    <xf numFmtId="0" fontId="0" fillId="25" borderId="0" xfId="0" applyFill="1"/>
    <xf numFmtId="0" fontId="0" fillId="29" borderId="0" xfId="0" applyFill="1"/>
    <xf numFmtId="0" fontId="0" fillId="29" borderId="118" xfId="0" applyFill="1" applyBorder="1"/>
    <xf numFmtId="0" fontId="64" fillId="29" borderId="0" xfId="0" applyFont="1" applyFill="1" applyBorder="1" applyAlignment="1">
      <alignment horizontal="right"/>
    </xf>
    <xf numFmtId="0" fontId="63" fillId="29" borderId="0" xfId="0" applyFont="1" applyFill="1"/>
    <xf numFmtId="0" fontId="6" fillId="29" borderId="0" xfId="0" applyFont="1" applyFill="1" applyAlignment="1">
      <alignment horizontal="right"/>
    </xf>
    <xf numFmtId="0" fontId="0" fillId="29" borderId="0" xfId="0" applyFill="1" applyBorder="1"/>
    <xf numFmtId="0" fontId="6" fillId="29" borderId="0" xfId="0" applyFont="1" applyFill="1" applyAlignment="1">
      <alignment horizontal="left" vertical="top" indent="1"/>
    </xf>
    <xf numFmtId="0" fontId="6" fillId="29" borderId="0" xfId="0" applyFont="1" applyFill="1" applyAlignment="1">
      <alignment horizontal="left"/>
    </xf>
    <xf numFmtId="0" fontId="43" fillId="29" borderId="0" xfId="0" applyFont="1" applyFill="1"/>
    <xf numFmtId="0" fontId="29" fillId="29" borderId="0" xfId="0" applyFont="1" applyFill="1" applyAlignment="1">
      <alignment horizontal="center"/>
    </xf>
    <xf numFmtId="0" fontId="61" fillId="23" borderId="0" xfId="0" applyFont="1" applyFill="1"/>
    <xf numFmtId="0" fontId="62" fillId="23" borderId="0" xfId="0" applyFont="1" applyFill="1" applyAlignment="1">
      <alignment horizontal="right"/>
    </xf>
    <xf numFmtId="0" fontId="6" fillId="29" borderId="0" xfId="0" applyFont="1" applyFill="1" applyAlignment="1">
      <alignment horizontal="center" vertical="top"/>
    </xf>
    <xf numFmtId="0" fontId="6" fillId="29" borderId="43" xfId="0" applyFont="1" applyFill="1" applyBorder="1" applyAlignment="1">
      <alignment vertical="center"/>
    </xf>
    <xf numFmtId="0" fontId="59" fillId="29" borderId="118" xfId="0" quotePrefix="1" applyFont="1" applyFill="1" applyBorder="1" applyAlignment="1">
      <alignment vertical="center"/>
    </xf>
    <xf numFmtId="0" fontId="5" fillId="25" borderId="62" xfId="0" applyFont="1" applyFill="1" applyBorder="1" applyAlignment="1">
      <alignment horizontal="center"/>
    </xf>
    <xf numFmtId="0" fontId="5" fillId="25" borderId="64" xfId="0" applyFont="1" applyFill="1" applyBorder="1"/>
    <xf numFmtId="0" fontId="5" fillId="25" borderId="62" xfId="0" applyFont="1" applyFill="1" applyBorder="1" applyAlignment="1">
      <alignment horizontal="center" vertical="center"/>
    </xf>
    <xf numFmtId="0" fontId="5" fillId="25" borderId="64" xfId="0" applyFont="1" applyFill="1" applyBorder="1" applyAlignment="1">
      <alignment vertical="center"/>
    </xf>
    <xf numFmtId="0" fontId="1" fillId="25" borderId="63" xfId="0" applyFont="1" applyFill="1" applyBorder="1" applyAlignment="1">
      <alignment horizontal="right" vertical="center"/>
    </xf>
    <xf numFmtId="0" fontId="5" fillId="30" borderId="34" xfId="0" applyFont="1" applyFill="1" applyBorder="1" applyAlignment="1">
      <alignment horizontal="center" vertical="center"/>
    </xf>
    <xf numFmtId="0" fontId="5" fillId="30" borderId="62" xfId="0" applyFont="1" applyFill="1" applyBorder="1" applyAlignment="1">
      <alignment horizontal="center" vertical="center"/>
    </xf>
    <xf numFmtId="3" fontId="9" fillId="25" borderId="34" xfId="0" applyNumberFormat="1" applyFont="1" applyFill="1" applyBorder="1" applyAlignment="1">
      <alignment horizontal="right" vertical="center"/>
    </xf>
    <xf numFmtId="0" fontId="5" fillId="28" borderId="64" xfId="0" applyFont="1" applyFill="1" applyBorder="1" applyAlignment="1">
      <alignment vertical="center"/>
    </xf>
    <xf numFmtId="0" fontId="1" fillId="28" borderId="63" xfId="0" applyFont="1" applyFill="1" applyBorder="1" applyAlignment="1">
      <alignment horizontal="right" vertical="center"/>
    </xf>
    <xf numFmtId="0" fontId="5" fillId="25" borderId="34" xfId="0" applyFont="1" applyFill="1" applyBorder="1" applyAlignment="1">
      <alignment horizontal="center"/>
    </xf>
    <xf numFmtId="0" fontId="5" fillId="33" borderId="62" xfId="0" applyFont="1" applyFill="1" applyBorder="1" applyAlignment="1">
      <alignment horizontal="center"/>
    </xf>
    <xf numFmtId="0" fontId="5" fillId="33" borderId="34" xfId="0" applyFont="1" applyFill="1" applyBorder="1"/>
    <xf numFmtId="0" fontId="5" fillId="34" borderId="34" xfId="0" applyFont="1" applyFill="1" applyBorder="1"/>
    <xf numFmtId="0" fontId="0" fillId="34" borderId="64" xfId="0" applyFill="1" applyBorder="1"/>
    <xf numFmtId="0" fontId="5" fillId="25" borderId="34" xfId="0" applyFont="1" applyFill="1" applyBorder="1"/>
    <xf numFmtId="0" fontId="0" fillId="25" borderId="34" xfId="0" applyFill="1" applyBorder="1"/>
    <xf numFmtId="0" fontId="0" fillId="25" borderId="63" xfId="0" applyFill="1" applyBorder="1"/>
    <xf numFmtId="0" fontId="4" fillId="25" borderId="31" xfId="0" applyFont="1" applyFill="1" applyBorder="1" applyAlignment="1">
      <alignment horizontal="center"/>
    </xf>
    <xf numFmtId="0" fontId="4" fillId="25" borderId="15" xfId="0" applyFont="1" applyFill="1" applyBorder="1" applyAlignment="1">
      <alignment horizontal="center"/>
    </xf>
    <xf numFmtId="0" fontId="4" fillId="25" borderId="39" xfId="0" applyFont="1" applyFill="1" applyBorder="1" applyAlignment="1">
      <alignment horizontal="center"/>
    </xf>
    <xf numFmtId="0" fontId="5" fillId="25" borderId="0" xfId="0" applyFont="1" applyFill="1" applyBorder="1"/>
    <xf numFmtId="0" fontId="5" fillId="25" borderId="0" xfId="0" quotePrefix="1" applyFont="1" applyFill="1" applyBorder="1" applyAlignment="1">
      <alignment horizontal="right"/>
    </xf>
    <xf numFmtId="0" fontId="5" fillId="25" borderId="14" xfId="0" applyFont="1" applyFill="1" applyBorder="1"/>
    <xf numFmtId="0" fontId="5" fillId="25" borderId="0" xfId="0" quotePrefix="1" applyFont="1" applyFill="1" applyBorder="1"/>
    <xf numFmtId="0" fontId="18" fillId="25" borderId="0" xfId="0" applyFont="1" applyFill="1" applyBorder="1" applyAlignment="1">
      <alignment horizontal="center"/>
    </xf>
    <xf numFmtId="0" fontId="18" fillId="25" borderId="14" xfId="0" applyFont="1" applyFill="1" applyBorder="1" applyAlignment="1">
      <alignment horizontal="center"/>
    </xf>
    <xf numFmtId="0" fontId="18" fillId="25" borderId="27" xfId="0" applyFont="1" applyFill="1" applyBorder="1" applyAlignment="1">
      <alignment horizontal="center"/>
    </xf>
    <xf numFmtId="0" fontId="18" fillId="25" borderId="23" xfId="0" applyFont="1" applyFill="1" applyBorder="1" applyAlignment="1">
      <alignment horizontal="center"/>
    </xf>
    <xf numFmtId="0" fontId="18" fillId="25" borderId="24" xfId="0" applyFont="1" applyFill="1" applyBorder="1" applyAlignment="1">
      <alignment horizontal="center"/>
    </xf>
    <xf numFmtId="0" fontId="18" fillId="25" borderId="25" xfId="0" applyFont="1" applyFill="1" applyBorder="1" applyAlignment="1">
      <alignment horizontal="center"/>
    </xf>
    <xf numFmtId="0" fontId="5" fillId="25" borderId="25" xfId="0" applyFont="1" applyFill="1" applyBorder="1"/>
    <xf numFmtId="0" fontId="5" fillId="25" borderId="26" xfId="0" applyFont="1" applyFill="1" applyBorder="1"/>
    <xf numFmtId="0" fontId="18" fillId="25" borderId="28" xfId="0" applyFont="1" applyFill="1" applyBorder="1" applyAlignment="1">
      <alignment horizontal="center"/>
    </xf>
    <xf numFmtId="0" fontId="18" fillId="25" borderId="38" xfId="0" applyFont="1" applyFill="1" applyBorder="1" applyAlignment="1">
      <alignment horizontal="center"/>
    </xf>
    <xf numFmtId="0" fontId="10" fillId="25" borderId="37" xfId="0" applyFont="1" applyFill="1" applyBorder="1" applyAlignment="1">
      <alignment horizontal="right"/>
    </xf>
    <xf numFmtId="0" fontId="10" fillId="28" borderId="74" xfId="0" applyFont="1" applyFill="1" applyBorder="1" applyAlignment="1">
      <alignment horizontal="right"/>
    </xf>
    <xf numFmtId="0" fontId="10" fillId="28" borderId="74" xfId="0" applyFont="1" applyFill="1" applyBorder="1" applyAlignment="1">
      <alignment horizontal="center"/>
    </xf>
    <xf numFmtId="0" fontId="4" fillId="35" borderId="135" xfId="0" applyFont="1" applyFill="1" applyBorder="1" applyAlignment="1">
      <alignment horizontal="center"/>
    </xf>
    <xf numFmtId="0" fontId="4" fillId="32" borderId="135" xfId="0" applyFont="1" applyFill="1" applyBorder="1" applyAlignment="1">
      <alignment horizontal="center"/>
    </xf>
    <xf numFmtId="0" fontId="10" fillId="25" borderId="12" xfId="0" applyFont="1" applyFill="1" applyBorder="1" applyAlignment="1">
      <alignment horizontal="right"/>
    </xf>
    <xf numFmtId="0" fontId="5" fillId="25" borderId="138" xfId="0" applyFont="1" applyFill="1" applyBorder="1"/>
    <xf numFmtId="0" fontId="65" fillId="31" borderId="0" xfId="0" applyFont="1" applyFill="1" applyAlignment="1">
      <alignment vertical="center"/>
    </xf>
    <xf numFmtId="0" fontId="65" fillId="36" borderId="0" xfId="0" applyFont="1" applyFill="1" applyAlignment="1">
      <alignment vertical="center"/>
    </xf>
    <xf numFmtId="0" fontId="45" fillId="29" borderId="0" xfId="0" applyFont="1" applyFill="1" applyAlignment="1">
      <alignment horizontal="left" vertical="center"/>
    </xf>
    <xf numFmtId="0" fontId="69" fillId="29" borderId="0" xfId="0" quotePrefix="1" applyFont="1" applyFill="1" applyBorder="1" applyAlignment="1">
      <alignment vertical="center"/>
    </xf>
    <xf numFmtId="0" fontId="70" fillId="29" borderId="0" xfId="0" applyFont="1" applyFill="1" applyAlignment="1">
      <alignment horizontal="right" vertical="center"/>
    </xf>
    <xf numFmtId="0" fontId="70" fillId="29" borderId="0" xfId="0" applyFont="1" applyFill="1" applyAlignment="1">
      <alignment horizontal="left" vertical="center"/>
    </xf>
    <xf numFmtId="0" fontId="6" fillId="25" borderId="34" xfId="0" applyFont="1" applyFill="1" applyBorder="1" applyAlignment="1">
      <alignment horizontal="left"/>
    </xf>
    <xf numFmtId="0" fontId="47" fillId="7" borderId="0" xfId="0" quotePrefix="1" applyFont="1" applyFill="1" applyAlignment="1">
      <alignment horizontal="left" vertical="center"/>
    </xf>
    <xf numFmtId="0" fontId="14" fillId="7" borderId="0" xfId="0" applyFont="1" applyFill="1" applyAlignment="1">
      <alignment vertical="center"/>
    </xf>
    <xf numFmtId="0" fontId="13" fillId="6" borderId="0" xfId="0" applyFont="1" applyFill="1" applyBorder="1" applyAlignment="1">
      <alignment horizontal="center" vertical="center"/>
    </xf>
    <xf numFmtId="0" fontId="47" fillId="7" borderId="0" xfId="0" applyFont="1" applyFill="1" applyAlignment="1">
      <alignment horizontal="center" vertical="center"/>
    </xf>
    <xf numFmtId="0" fontId="71" fillId="0" borderId="123" xfId="0" applyFont="1" applyFill="1" applyBorder="1" applyAlignment="1">
      <alignment horizontal="center"/>
    </xf>
    <xf numFmtId="0" fontId="57" fillId="0" borderId="130" xfId="0" applyFont="1" applyFill="1" applyBorder="1" applyAlignment="1">
      <alignment horizontal="center"/>
    </xf>
    <xf numFmtId="0" fontId="2" fillId="37" borderId="139" xfId="0" applyNumberFormat="1" applyFont="1" applyFill="1" applyBorder="1" applyAlignment="1">
      <alignment horizontal="center" vertical="center"/>
    </xf>
    <xf numFmtId="0" fontId="2" fillId="37" borderId="65" xfId="0" applyNumberFormat="1" applyFont="1" applyFill="1" applyBorder="1" applyAlignment="1">
      <alignment horizontal="left" vertical="center"/>
    </xf>
    <xf numFmtId="0" fontId="2" fillId="37" borderId="34" xfId="0" applyNumberFormat="1" applyFont="1" applyFill="1" applyBorder="1" applyAlignment="1">
      <alignment horizontal="right" indent="1"/>
    </xf>
    <xf numFmtId="0" fontId="2" fillId="37" borderId="34" xfId="0" applyNumberFormat="1" applyFont="1" applyFill="1" applyBorder="1" applyAlignment="1">
      <alignment horizontal="left"/>
    </xf>
    <xf numFmtId="3" fontId="1" fillId="37" borderId="34" xfId="0" applyNumberFormat="1" applyFont="1" applyFill="1" applyBorder="1" applyAlignment="1">
      <alignment horizontal="right" vertical="center"/>
    </xf>
    <xf numFmtId="3" fontId="16" fillId="37" borderId="20" xfId="0" applyNumberFormat="1" applyFont="1" applyFill="1" applyBorder="1" applyAlignment="1" applyProtection="1">
      <alignment vertical="center"/>
      <protection locked="0"/>
    </xf>
    <xf numFmtId="164" fontId="16" fillId="37" borderId="123" xfId="0" applyNumberFormat="1" applyFont="1" applyFill="1" applyBorder="1" applyAlignment="1" applyProtection="1">
      <alignment vertical="center"/>
      <protection locked="0"/>
    </xf>
    <xf numFmtId="164" fontId="16" fillId="37" borderId="0" xfId="0" applyNumberFormat="1" applyFont="1" applyFill="1" applyBorder="1" applyAlignment="1" applyProtection="1">
      <alignment vertical="center"/>
      <protection locked="0"/>
    </xf>
    <xf numFmtId="164" fontId="16" fillId="37" borderId="0" xfId="0" applyNumberFormat="1" applyFont="1" applyFill="1" applyBorder="1" applyAlignment="1" applyProtection="1">
      <alignment horizontal="left" vertical="center"/>
      <protection locked="0"/>
    </xf>
    <xf numFmtId="165" fontId="72" fillId="35" borderId="136" xfId="0" applyNumberFormat="1" applyFont="1" applyFill="1" applyBorder="1" applyAlignment="1">
      <alignment horizontal="center"/>
    </xf>
    <xf numFmtId="165" fontId="72" fillId="32" borderId="136" xfId="0" applyNumberFormat="1" applyFont="1" applyFill="1" applyBorder="1" applyAlignment="1">
      <alignment horizontal="center"/>
    </xf>
    <xf numFmtId="164" fontId="72" fillId="25" borderId="119" xfId="0" applyNumberFormat="1" applyFont="1" applyFill="1" applyBorder="1"/>
    <xf numFmtId="0" fontId="72" fillId="25" borderId="120" xfId="0" applyFont="1" applyFill="1" applyBorder="1"/>
    <xf numFmtId="165" fontId="73" fillId="35" borderId="136" xfId="0" applyNumberFormat="1" applyFont="1" applyFill="1" applyBorder="1" applyAlignment="1">
      <alignment horizontal="center"/>
    </xf>
    <xf numFmtId="164" fontId="73" fillId="25" borderId="119" xfId="0" applyNumberFormat="1" applyFont="1" applyFill="1" applyBorder="1"/>
    <xf numFmtId="0" fontId="73" fillId="25" borderId="120" xfId="0" applyFont="1" applyFill="1" applyBorder="1"/>
    <xf numFmtId="3" fontId="16" fillId="37" borderId="0" xfId="0" applyNumberFormat="1" applyFont="1" applyFill="1" applyBorder="1" applyAlignment="1" applyProtection="1">
      <alignment vertical="center"/>
      <protection locked="0"/>
    </xf>
    <xf numFmtId="164" fontId="16" fillId="37" borderId="130" xfId="0" applyNumberFormat="1" applyFont="1" applyFill="1" applyBorder="1" applyAlignment="1" applyProtection="1">
      <alignment horizontal="right" vertical="center"/>
      <protection locked="0"/>
    </xf>
    <xf numFmtId="164" fontId="16" fillId="37" borderId="0" xfId="0" applyNumberFormat="1" applyFont="1" applyFill="1" applyBorder="1" applyAlignment="1" applyProtection="1">
      <alignment horizontal="right" vertical="center" indent="1"/>
      <protection locked="0"/>
    </xf>
    <xf numFmtId="0" fontId="40" fillId="0" borderId="0" xfId="0" applyFont="1" applyAlignment="1">
      <alignment horizontal="center" vertical="center" wrapText="1"/>
    </xf>
    <xf numFmtId="0" fontId="5" fillId="0" borderId="0" xfId="0" applyFont="1" applyAlignment="1">
      <alignment horizontal="center"/>
    </xf>
    <xf numFmtId="0" fontId="1" fillId="5" borderId="50" xfId="0" applyFont="1" applyFill="1" applyBorder="1" applyAlignment="1" applyProtection="1">
      <alignment horizontal="center" vertical="center"/>
      <protection locked="0"/>
    </xf>
    <xf numFmtId="0" fontId="8" fillId="0" borderId="1" xfId="0" applyFont="1" applyFill="1" applyBorder="1" applyAlignment="1">
      <alignment vertical="center"/>
    </xf>
    <xf numFmtId="0" fontId="60" fillId="29" borderId="140" xfId="0" applyFont="1" applyFill="1" applyBorder="1" applyAlignment="1">
      <alignment horizontal="center" vertical="top"/>
    </xf>
    <xf numFmtId="0" fontId="60" fillId="29" borderId="142" xfId="0" applyFont="1" applyFill="1" applyBorder="1" applyAlignment="1">
      <alignment horizontal="left" vertical="top"/>
    </xf>
    <xf numFmtId="0" fontId="68" fillId="29" borderId="143" xfId="0" applyFont="1" applyFill="1" applyBorder="1" applyAlignment="1">
      <alignment horizontal="center"/>
    </xf>
    <xf numFmtId="0" fontId="74" fillId="23" borderId="0" xfId="0" applyFont="1" applyFill="1" applyBorder="1" applyAlignment="1">
      <alignment vertical="center"/>
    </xf>
    <xf numFmtId="0" fontId="7" fillId="37" borderId="34" xfId="0" applyNumberFormat="1" applyFont="1" applyFill="1" applyBorder="1" applyAlignment="1">
      <alignment horizontal="left"/>
    </xf>
    <xf numFmtId="0" fontId="68" fillId="23" borderId="118" xfId="0" quotePrefix="1" applyFont="1" applyFill="1" applyBorder="1" applyAlignment="1">
      <alignment horizontal="center" vertical="center" wrapText="1"/>
    </xf>
    <xf numFmtId="0" fontId="75" fillId="23" borderId="137" xfId="0" applyFont="1" applyFill="1" applyBorder="1" applyAlignment="1">
      <alignment horizontal="center" vertical="center"/>
    </xf>
    <xf numFmtId="0" fontId="5" fillId="30" borderId="141" xfId="0" applyFont="1" applyFill="1" applyBorder="1" applyAlignment="1">
      <alignment horizontal="left" vertical="center"/>
    </xf>
    <xf numFmtId="0" fontId="60" fillId="23" borderId="144" xfId="0" applyFont="1" applyFill="1" applyBorder="1" applyAlignment="1">
      <alignment horizontal="right" vertical="center"/>
    </xf>
    <xf numFmtId="0" fontId="24" fillId="37" borderId="34" xfId="0" applyNumberFormat="1" applyFont="1" applyFill="1" applyBorder="1" applyAlignment="1" applyProtection="1">
      <alignment horizontal="center" vertical="center"/>
      <protection locked="0"/>
    </xf>
    <xf numFmtId="165" fontId="2" fillId="37" borderId="34" xfId="0" applyNumberFormat="1" applyFont="1" applyFill="1" applyBorder="1" applyAlignment="1">
      <alignment horizontal="right" vertical="center"/>
    </xf>
    <xf numFmtId="3" fontId="2" fillId="37" borderId="34" xfId="0" applyNumberFormat="1" applyFont="1" applyFill="1" applyBorder="1" applyAlignment="1">
      <alignment horizontal="right" vertical="center"/>
    </xf>
    <xf numFmtId="3" fontId="7" fillId="25" borderId="34" xfId="0" applyNumberFormat="1" applyFont="1" applyFill="1" applyBorder="1" applyAlignment="1">
      <alignment horizontal="right" vertical="center"/>
    </xf>
    <xf numFmtId="0" fontId="7" fillId="29" borderId="0" xfId="0" applyFont="1" applyFill="1"/>
    <xf numFmtId="3" fontId="2" fillId="37" borderId="34" xfId="0" applyNumberFormat="1" applyFont="1" applyFill="1" applyBorder="1" applyAlignment="1">
      <alignment horizontal="right"/>
    </xf>
    <xf numFmtId="0" fontId="7" fillId="30" borderId="62" xfId="0" applyFont="1" applyFill="1" applyBorder="1" applyAlignment="1">
      <alignment horizontal="center" vertical="center"/>
    </xf>
    <xf numFmtId="0" fontId="2" fillId="33" borderId="34" xfId="0" applyFont="1" applyFill="1" applyBorder="1" applyAlignment="1">
      <alignment horizontal="right"/>
    </xf>
    <xf numFmtId="3" fontId="2" fillId="33" borderId="34" xfId="0" applyNumberFormat="1" applyFont="1" applyFill="1" applyBorder="1" applyAlignment="1">
      <alignment horizontal="right"/>
    </xf>
    <xf numFmtId="3" fontId="24" fillId="33" borderId="34" xfId="0" applyNumberFormat="1" applyFont="1" applyFill="1" applyBorder="1" applyProtection="1">
      <protection locked="0"/>
    </xf>
    <xf numFmtId="0" fontId="74" fillId="23" borderId="0" xfId="0" applyFont="1" applyFill="1" applyAlignment="1">
      <alignment horizontal="right"/>
    </xf>
    <xf numFmtId="167" fontId="2" fillId="34" borderId="54" xfId="0" applyNumberFormat="1" applyFont="1" applyFill="1" applyBorder="1" applyAlignment="1">
      <alignment horizontal="right" indent="1"/>
    </xf>
    <xf numFmtId="0" fontId="40" fillId="0" borderId="0" xfId="0" applyFont="1" applyAlignment="1">
      <alignment horizontal="center" vertical="center" wrapText="1"/>
    </xf>
    <xf numFmtId="0" fontId="1" fillId="5" borderId="50" xfId="0" applyFont="1" applyFill="1" applyBorder="1" applyAlignment="1" applyProtection="1">
      <alignment horizontal="center" vertical="center"/>
      <protection locked="0"/>
    </xf>
    <xf numFmtId="0" fontId="5" fillId="0" borderId="0" xfId="0" applyFont="1" applyAlignment="1">
      <alignment horizontal="center"/>
    </xf>
    <xf numFmtId="0" fontId="68" fillId="23" borderId="118" xfId="0" quotePrefix="1" applyFont="1" applyFill="1" applyBorder="1" applyAlignment="1" applyProtection="1">
      <alignment horizontal="center" vertical="center" wrapText="1"/>
    </xf>
    <xf numFmtId="0" fontId="2" fillId="37" borderId="139" xfId="0" applyNumberFormat="1" applyFont="1" applyFill="1" applyBorder="1" applyAlignment="1" applyProtection="1">
      <alignment horizontal="center" vertical="center"/>
    </xf>
    <xf numFmtId="0" fontId="2" fillId="37" borderId="65" xfId="0" applyNumberFormat="1" applyFont="1" applyFill="1" applyBorder="1" applyAlignment="1" applyProtection="1">
      <alignment horizontal="left" vertical="center"/>
    </xf>
    <xf numFmtId="0" fontId="0" fillId="29" borderId="0" xfId="0" applyFill="1" applyProtection="1"/>
    <xf numFmtId="0" fontId="0" fillId="29" borderId="118" xfId="0" applyFill="1" applyBorder="1" applyProtection="1"/>
    <xf numFmtId="0" fontId="60" fillId="29" borderId="140" xfId="0" applyFont="1" applyFill="1" applyBorder="1" applyAlignment="1" applyProtection="1">
      <alignment horizontal="center" vertical="top"/>
    </xf>
    <xf numFmtId="0" fontId="60" fillId="29" borderId="142" xfId="0" applyFont="1" applyFill="1" applyBorder="1" applyAlignment="1" applyProtection="1">
      <alignment horizontal="left" vertical="top"/>
    </xf>
    <xf numFmtId="0" fontId="68" fillId="29" borderId="143" xfId="0" applyFont="1" applyFill="1" applyBorder="1" applyAlignment="1" applyProtection="1">
      <alignment horizontal="center"/>
    </xf>
    <xf numFmtId="0" fontId="59" fillId="29" borderId="118" xfId="0" quotePrefix="1" applyFont="1" applyFill="1" applyBorder="1" applyAlignment="1" applyProtection="1">
      <alignment vertical="center"/>
    </xf>
    <xf numFmtId="0" fontId="45" fillId="29" borderId="0" xfId="0" applyFont="1" applyFill="1" applyAlignment="1" applyProtection="1">
      <alignment horizontal="left" vertical="center"/>
    </xf>
    <xf numFmtId="0" fontId="6" fillId="29" borderId="0" xfId="0" applyFont="1" applyFill="1" applyAlignment="1" applyProtection="1">
      <alignment horizontal="right"/>
    </xf>
    <xf numFmtId="0" fontId="6" fillId="29" borderId="0" xfId="0" applyFont="1" applyFill="1" applyAlignment="1" applyProtection="1">
      <alignment horizontal="left"/>
    </xf>
    <xf numFmtId="0" fontId="69" fillId="29" borderId="0" xfId="0" quotePrefix="1" applyFont="1" applyFill="1" applyBorder="1" applyAlignment="1" applyProtection="1">
      <alignment vertical="center"/>
    </xf>
    <xf numFmtId="0" fontId="70" fillId="29" borderId="0" xfId="0" applyFont="1" applyFill="1" applyAlignment="1" applyProtection="1">
      <alignment horizontal="right" vertical="center"/>
    </xf>
    <xf numFmtId="3" fontId="1" fillId="37" borderId="34" xfId="0" applyNumberFormat="1" applyFont="1" applyFill="1" applyBorder="1" applyAlignment="1" applyProtection="1">
      <alignment horizontal="right" vertical="center"/>
    </xf>
    <xf numFmtId="0" fontId="70" fillId="29" borderId="0" xfId="0" applyFont="1" applyFill="1" applyAlignment="1" applyProtection="1">
      <alignment horizontal="left" vertical="center"/>
    </xf>
    <xf numFmtId="0" fontId="74" fillId="23" borderId="0" xfId="0" applyFont="1" applyFill="1" applyBorder="1" applyAlignment="1" applyProtection="1">
      <alignment vertical="center"/>
    </xf>
    <xf numFmtId="0" fontId="61" fillId="23" borderId="0" xfId="0" applyFont="1" applyFill="1" applyProtection="1"/>
    <xf numFmtId="0" fontId="60" fillId="23" borderId="117" xfId="0" applyFont="1" applyFill="1" applyBorder="1" applyAlignment="1" applyProtection="1">
      <alignment horizontal="center" vertical="center"/>
    </xf>
    <xf numFmtId="0" fontId="75" fillId="23" borderId="137" xfId="0" applyFont="1" applyFill="1" applyBorder="1" applyAlignment="1" applyProtection="1">
      <alignment horizontal="center" vertical="center"/>
    </xf>
    <xf numFmtId="0" fontId="65" fillId="31" borderId="0" xfId="0" applyFont="1" applyFill="1" applyAlignment="1" applyProtection="1">
      <alignment vertical="center"/>
    </xf>
    <xf numFmtId="0" fontId="64" fillId="29" borderId="0" xfId="0" applyFont="1" applyFill="1" applyBorder="1" applyAlignment="1" applyProtection="1">
      <alignment horizontal="right"/>
    </xf>
    <xf numFmtId="0" fontId="5" fillId="25" borderId="62" xfId="0" applyFont="1" applyFill="1" applyBorder="1" applyAlignment="1" applyProtection="1">
      <alignment horizontal="center" vertical="center"/>
    </xf>
    <xf numFmtId="0" fontId="5" fillId="28" borderId="64" xfId="0" applyFont="1" applyFill="1" applyBorder="1" applyAlignment="1" applyProtection="1">
      <alignment vertical="center"/>
    </xf>
    <xf numFmtId="0" fontId="1" fillId="28" borderId="63" xfId="0" applyFont="1" applyFill="1" applyBorder="1" applyAlignment="1" applyProtection="1">
      <alignment horizontal="right" vertical="center"/>
    </xf>
    <xf numFmtId="165" fontId="2" fillId="37" borderId="34" xfId="0" applyNumberFormat="1" applyFont="1" applyFill="1" applyBorder="1" applyAlignment="1" applyProtection="1">
      <alignment horizontal="right" vertical="center"/>
    </xf>
    <xf numFmtId="0" fontId="2" fillId="37" borderId="34" xfId="0" applyNumberFormat="1" applyFont="1" applyFill="1" applyBorder="1" applyAlignment="1" applyProtection="1">
      <alignment horizontal="right" indent="1"/>
    </xf>
    <xf numFmtId="0" fontId="2" fillId="37" borderId="34" xfId="0" applyNumberFormat="1" applyFont="1" applyFill="1" applyBorder="1" applyAlignment="1" applyProtection="1">
      <alignment horizontal="left"/>
    </xf>
    <xf numFmtId="0" fontId="6" fillId="29" borderId="0" xfId="0" applyFont="1" applyFill="1" applyAlignment="1" applyProtection="1">
      <alignment horizontal="left" vertical="top" indent="1"/>
    </xf>
    <xf numFmtId="0" fontId="6" fillId="29" borderId="0" xfId="0" applyFont="1" applyFill="1" applyAlignment="1" applyProtection="1">
      <alignment horizontal="center" vertical="top"/>
    </xf>
    <xf numFmtId="0" fontId="5" fillId="30" borderId="34" xfId="0" applyFont="1" applyFill="1" applyBorder="1" applyAlignment="1" applyProtection="1">
      <alignment horizontal="center" vertical="center"/>
    </xf>
    <xf numFmtId="3" fontId="2" fillId="37" borderId="34" xfId="0" applyNumberFormat="1" applyFont="1" applyFill="1" applyBorder="1" applyAlignment="1" applyProtection="1">
      <alignment horizontal="right" vertical="center"/>
    </xf>
    <xf numFmtId="0" fontId="0" fillId="0" borderId="121" xfId="0" applyFill="1" applyBorder="1" applyProtection="1"/>
    <xf numFmtId="0" fontId="0" fillId="0" borderId="122" xfId="0" applyFill="1" applyBorder="1" applyProtection="1"/>
    <xf numFmtId="3" fontId="16" fillId="37" borderId="20" xfId="0" applyNumberFormat="1" applyFont="1" applyFill="1" applyBorder="1" applyAlignment="1" applyProtection="1">
      <alignment vertical="center"/>
    </xf>
    <xf numFmtId="164" fontId="16" fillId="37" borderId="0" xfId="0" applyNumberFormat="1" applyFont="1" applyFill="1" applyBorder="1" applyAlignment="1" applyProtection="1">
      <alignment vertical="center"/>
    </xf>
    <xf numFmtId="164" fontId="16" fillId="37" borderId="0" xfId="0" applyNumberFormat="1" applyFont="1" applyFill="1" applyBorder="1" applyAlignment="1" applyProtection="1">
      <alignment horizontal="left" vertical="center"/>
    </xf>
    <xf numFmtId="0" fontId="5" fillId="30" borderId="62" xfId="0" applyFont="1" applyFill="1" applyBorder="1" applyAlignment="1" applyProtection="1">
      <alignment horizontal="center" vertical="center"/>
    </xf>
    <xf numFmtId="0" fontId="5" fillId="25" borderId="62" xfId="0" applyFont="1" applyFill="1" applyBorder="1" applyAlignment="1" applyProtection="1">
      <alignment horizontal="center"/>
    </xf>
    <xf numFmtId="0" fontId="6" fillId="25" borderId="34" xfId="0" applyFont="1" applyFill="1" applyBorder="1" applyAlignment="1" applyProtection="1">
      <alignment horizontal="left"/>
    </xf>
    <xf numFmtId="0" fontId="5" fillId="0" borderId="123" xfId="0" applyFont="1" applyFill="1" applyBorder="1" applyAlignment="1" applyProtection="1">
      <alignment horizontal="center"/>
    </xf>
    <xf numFmtId="0" fontId="0" fillId="0" borderId="0" xfId="0" applyFill="1" applyBorder="1" applyProtection="1"/>
    <xf numFmtId="0" fontId="71" fillId="0" borderId="123" xfId="0" applyFont="1" applyFill="1" applyBorder="1" applyAlignment="1" applyProtection="1">
      <alignment horizontal="center"/>
    </xf>
    <xf numFmtId="0" fontId="5" fillId="25" borderId="64" xfId="0" applyFont="1" applyFill="1" applyBorder="1" applyAlignment="1" applyProtection="1">
      <alignment vertical="center"/>
    </xf>
    <xf numFmtId="0" fontId="1" fillId="25" borderId="63" xfId="0" applyFont="1" applyFill="1" applyBorder="1" applyAlignment="1" applyProtection="1">
      <alignment horizontal="right" vertical="center"/>
    </xf>
    <xf numFmtId="3" fontId="9" fillId="25" borderId="34" xfId="0" applyNumberFormat="1" applyFont="1" applyFill="1" applyBorder="1" applyAlignment="1" applyProtection="1">
      <alignment horizontal="right" vertical="center"/>
    </xf>
    <xf numFmtId="0" fontId="5" fillId="33" borderId="34" xfId="0" applyFont="1" applyFill="1" applyBorder="1" applyProtection="1"/>
    <xf numFmtId="0" fontId="63" fillId="29" borderId="0" xfId="0" applyFont="1" applyFill="1" applyProtection="1"/>
    <xf numFmtId="0" fontId="0" fillId="0" borderId="123" xfId="0" applyFill="1" applyBorder="1" applyProtection="1"/>
    <xf numFmtId="3" fontId="16" fillId="25" borderId="0" xfId="0" applyNumberFormat="1" applyFont="1" applyFill="1" applyBorder="1" applyAlignment="1" applyProtection="1">
      <alignment horizontal="left" vertical="center"/>
    </xf>
    <xf numFmtId="164" fontId="16" fillId="37" borderId="123" xfId="0" applyNumberFormat="1" applyFont="1" applyFill="1" applyBorder="1" applyAlignment="1" applyProtection="1">
      <alignment vertical="center"/>
    </xf>
    <xf numFmtId="164" fontId="16" fillId="25" borderId="126" xfId="0" applyNumberFormat="1" applyFont="1" applyFill="1" applyBorder="1" applyAlignment="1" applyProtection="1">
      <alignment horizontal="left" vertical="center"/>
    </xf>
    <xf numFmtId="0" fontId="60" fillId="23" borderId="144" xfId="0" applyFont="1" applyFill="1" applyBorder="1" applyAlignment="1" applyProtection="1">
      <alignment horizontal="right" vertical="center"/>
    </xf>
    <xf numFmtId="0" fontId="0" fillId="0" borderId="124" xfId="0" applyFill="1" applyBorder="1" applyProtection="1"/>
    <xf numFmtId="0" fontId="0" fillId="0" borderId="125" xfId="0" applyFill="1" applyBorder="1" applyProtection="1"/>
    <xf numFmtId="0" fontId="0" fillId="0" borderId="124" xfId="0" applyBorder="1" applyProtection="1"/>
    <xf numFmtId="0" fontId="0" fillId="0" borderId="127" xfId="0" applyBorder="1" applyProtection="1"/>
    <xf numFmtId="0" fontId="24" fillId="37" borderId="34" xfId="0" applyNumberFormat="1" applyFont="1" applyFill="1" applyBorder="1" applyAlignment="1" applyProtection="1">
      <alignment horizontal="center" vertical="center"/>
    </xf>
    <xf numFmtId="3" fontId="7" fillId="25" borderId="34" xfId="0" applyNumberFormat="1" applyFont="1" applyFill="1" applyBorder="1" applyAlignment="1" applyProtection="1">
      <alignment horizontal="right" vertical="center"/>
    </xf>
    <xf numFmtId="0" fontId="7" fillId="29" borderId="0" xfId="0" applyFont="1" applyFill="1" applyProtection="1"/>
    <xf numFmtId="0" fontId="4" fillId="32" borderId="135" xfId="0" applyFont="1" applyFill="1" applyBorder="1" applyAlignment="1" applyProtection="1">
      <alignment horizontal="center"/>
    </xf>
    <xf numFmtId="0" fontId="6" fillId="29" borderId="43" xfId="0" applyFont="1" applyFill="1" applyBorder="1" applyAlignment="1" applyProtection="1">
      <alignment vertical="center"/>
    </xf>
    <xf numFmtId="0" fontId="4" fillId="25" borderId="31" xfId="0" applyFont="1" applyFill="1" applyBorder="1" applyAlignment="1" applyProtection="1">
      <alignment horizontal="center"/>
    </xf>
    <xf numFmtId="0" fontId="10" fillId="28" borderId="74" xfId="0" applyFont="1" applyFill="1" applyBorder="1" applyAlignment="1" applyProtection="1">
      <alignment horizontal="right"/>
    </xf>
    <xf numFmtId="165" fontId="72" fillId="35" borderId="136" xfId="0" applyNumberFormat="1" applyFont="1" applyFill="1" applyBorder="1" applyAlignment="1" applyProtection="1">
      <alignment horizontal="center"/>
    </xf>
    <xf numFmtId="0" fontId="0" fillId="25" borderId="0" xfId="0" applyFill="1" applyProtection="1"/>
    <xf numFmtId="0" fontId="10" fillId="25" borderId="12" xfId="0" applyFont="1" applyFill="1" applyBorder="1" applyAlignment="1" applyProtection="1">
      <alignment horizontal="right"/>
    </xf>
    <xf numFmtId="0" fontId="10" fillId="27" borderId="74" xfId="0" applyFont="1" applyFill="1" applyBorder="1" applyAlignment="1" applyProtection="1">
      <alignment horizontal="center"/>
    </xf>
    <xf numFmtId="165" fontId="72" fillId="32" borderId="136" xfId="0" applyNumberFormat="1" applyFont="1" applyFill="1" applyBorder="1" applyAlignment="1" applyProtection="1">
      <alignment horizontal="center"/>
    </xf>
    <xf numFmtId="0" fontId="10" fillId="25" borderId="37" xfId="0" applyFont="1" applyFill="1" applyBorder="1" applyAlignment="1" applyProtection="1">
      <alignment horizontal="right"/>
    </xf>
    <xf numFmtId="164" fontId="72" fillId="25" borderId="119" xfId="0" applyNumberFormat="1" applyFont="1" applyFill="1" applyBorder="1" applyProtection="1"/>
    <xf numFmtId="0" fontId="72" fillId="25" borderId="120" xfId="0" applyFont="1" applyFill="1" applyBorder="1" applyProtection="1"/>
    <xf numFmtId="0" fontId="4" fillId="25" borderId="15" xfId="0" applyFont="1" applyFill="1" applyBorder="1" applyAlignment="1" applyProtection="1">
      <alignment horizontal="center"/>
    </xf>
    <xf numFmtId="0" fontId="5" fillId="25" borderId="0" xfId="0" applyFont="1" applyFill="1" applyBorder="1" applyProtection="1"/>
    <xf numFmtId="0" fontId="5" fillId="25" borderId="0" xfId="0" quotePrefix="1" applyFont="1" applyFill="1" applyBorder="1" applyAlignment="1" applyProtection="1">
      <alignment horizontal="right"/>
    </xf>
    <xf numFmtId="0" fontId="5" fillId="25" borderId="14" xfId="0" applyFont="1" applyFill="1" applyBorder="1" applyProtection="1"/>
    <xf numFmtId="0" fontId="5" fillId="25" borderId="138" xfId="0" applyFont="1" applyFill="1" applyBorder="1" applyProtection="1"/>
    <xf numFmtId="0" fontId="5" fillId="25" borderId="0" xfId="0" quotePrefix="1" applyFont="1" applyFill="1" applyBorder="1" applyProtection="1"/>
    <xf numFmtId="0" fontId="18" fillId="25" borderId="0" xfId="0" applyFont="1" applyFill="1" applyBorder="1" applyAlignment="1" applyProtection="1">
      <alignment horizontal="center"/>
    </xf>
    <xf numFmtId="0" fontId="18" fillId="25" borderId="14" xfId="0" applyFont="1" applyFill="1" applyBorder="1" applyAlignment="1" applyProtection="1">
      <alignment horizontal="center"/>
    </xf>
    <xf numFmtId="0" fontId="18" fillId="25" borderId="27" xfId="0" applyFont="1" applyFill="1" applyBorder="1" applyAlignment="1" applyProtection="1">
      <alignment horizontal="center"/>
    </xf>
    <xf numFmtId="0" fontId="18" fillId="25" borderId="23" xfId="0" applyFont="1" applyFill="1" applyBorder="1" applyAlignment="1" applyProtection="1">
      <alignment horizontal="center"/>
    </xf>
    <xf numFmtId="0" fontId="18" fillId="25" borderId="24" xfId="0" applyFont="1" applyFill="1" applyBorder="1" applyAlignment="1" applyProtection="1">
      <alignment horizontal="center"/>
    </xf>
    <xf numFmtId="0" fontId="18" fillId="25" borderId="25" xfId="0" applyFont="1" applyFill="1" applyBorder="1" applyAlignment="1" applyProtection="1">
      <alignment horizontal="center"/>
    </xf>
    <xf numFmtId="0" fontId="5" fillId="25" borderId="25" xfId="0" applyFont="1" applyFill="1" applyBorder="1" applyProtection="1"/>
    <xf numFmtId="0" fontId="5" fillId="25" borderId="26" xfId="0" applyFont="1" applyFill="1" applyBorder="1" applyProtection="1"/>
    <xf numFmtId="0" fontId="18" fillId="25" borderId="28" xfId="0" applyFont="1" applyFill="1" applyBorder="1" applyAlignment="1" applyProtection="1">
      <alignment horizontal="center"/>
    </xf>
    <xf numFmtId="0" fontId="18" fillId="25" borderId="38" xfId="0" applyFont="1" applyFill="1" applyBorder="1" applyAlignment="1" applyProtection="1">
      <alignment horizontal="center"/>
    </xf>
    <xf numFmtId="3" fontId="16" fillId="25" borderId="21" xfId="0" applyNumberFormat="1" applyFont="1" applyFill="1" applyBorder="1" applyProtection="1"/>
    <xf numFmtId="3" fontId="16" fillId="25" borderId="22" xfId="0" applyNumberFormat="1" applyFont="1" applyFill="1" applyBorder="1" applyProtection="1"/>
    <xf numFmtId="3" fontId="5" fillId="26" borderId="30" xfId="0" applyNumberFormat="1" applyFont="1" applyFill="1" applyBorder="1" applyProtection="1"/>
    <xf numFmtId="164" fontId="16" fillId="25" borderId="21" xfId="0" applyNumberFormat="1" applyFont="1" applyFill="1" applyBorder="1" applyProtection="1"/>
    <xf numFmtId="164" fontId="16" fillId="25" borderId="22" xfId="0" applyNumberFormat="1" applyFont="1" applyFill="1" applyBorder="1" applyProtection="1"/>
    <xf numFmtId="164" fontId="5" fillId="26" borderId="0" xfId="0" applyNumberFormat="1" applyFont="1" applyFill="1" applyBorder="1" applyProtection="1"/>
    <xf numFmtId="166" fontId="5" fillId="26" borderId="0" xfId="0" applyNumberFormat="1" applyFont="1" applyFill="1" applyBorder="1" applyProtection="1"/>
    <xf numFmtId="165" fontId="16" fillId="26" borderId="0" xfId="0" applyNumberFormat="1" applyFont="1" applyFill="1" applyBorder="1" applyProtection="1"/>
    <xf numFmtId="164" fontId="16" fillId="22" borderId="61" xfId="0" applyNumberFormat="1" applyFont="1" applyFill="1" applyBorder="1" applyAlignment="1" applyProtection="1">
      <alignment horizontal="right"/>
    </xf>
    <xf numFmtId="3" fontId="27" fillId="24" borderId="59" xfId="0" applyNumberFormat="1" applyFont="1" applyFill="1" applyBorder="1" applyProtection="1"/>
    <xf numFmtId="3" fontId="16" fillId="25" borderId="20" xfId="0" applyNumberFormat="1" applyFont="1" applyFill="1" applyBorder="1" applyProtection="1"/>
    <xf numFmtId="0" fontId="5" fillId="26" borderId="29" xfId="0" applyFont="1" applyFill="1" applyBorder="1" applyProtection="1"/>
    <xf numFmtId="164" fontId="27" fillId="26" borderId="59" xfId="0" applyNumberFormat="1" applyFont="1" applyFill="1" applyBorder="1" applyProtection="1"/>
    <xf numFmtId="164" fontId="16" fillId="25" borderId="20" xfId="0" applyNumberFormat="1" applyFont="1" applyFill="1" applyBorder="1" applyProtection="1"/>
    <xf numFmtId="0" fontId="5" fillId="0" borderId="64" xfId="0" applyFont="1" applyBorder="1" applyProtection="1"/>
    <xf numFmtId="0" fontId="7" fillId="37" borderId="34" xfId="0" applyNumberFormat="1" applyFont="1" applyFill="1" applyBorder="1" applyAlignment="1" applyProtection="1">
      <alignment horizontal="left"/>
    </xf>
    <xf numFmtId="0" fontId="4" fillId="25" borderId="39" xfId="0" applyFont="1" applyFill="1" applyBorder="1" applyAlignment="1" applyProtection="1">
      <alignment horizontal="center"/>
    </xf>
    <xf numFmtId="3" fontId="27" fillId="24" borderId="60" xfId="0" applyNumberFormat="1" applyFont="1" applyFill="1" applyBorder="1" applyProtection="1"/>
    <xf numFmtId="3" fontId="16" fillId="25" borderId="41" xfId="0" applyNumberFormat="1" applyFont="1" applyFill="1" applyBorder="1" applyProtection="1"/>
    <xf numFmtId="0" fontId="5" fillId="26" borderId="42" xfId="0" applyFont="1" applyFill="1" applyBorder="1" applyProtection="1"/>
    <xf numFmtId="164" fontId="27" fillId="26" borderId="60" xfId="0" applyNumberFormat="1" applyFont="1" applyFill="1" applyBorder="1" applyProtection="1"/>
    <xf numFmtId="164" fontId="16" fillId="25" borderId="41" xfId="0" applyNumberFormat="1" applyFont="1" applyFill="1" applyBorder="1" applyProtection="1"/>
    <xf numFmtId="164" fontId="5" fillId="26" borderId="43" xfId="0" applyNumberFormat="1" applyFont="1" applyFill="1" applyBorder="1" applyProtection="1"/>
    <xf numFmtId="166" fontId="5" fillId="26" borderId="43" xfId="0" applyNumberFormat="1" applyFont="1" applyFill="1" applyBorder="1" applyProtection="1"/>
    <xf numFmtId="165" fontId="16" fillId="26" borderId="43" xfId="0" applyNumberFormat="1" applyFont="1" applyFill="1" applyBorder="1" applyProtection="1"/>
    <xf numFmtId="0" fontId="5" fillId="4" borderId="34" xfId="0" applyFont="1" applyFill="1" applyBorder="1" applyAlignment="1" applyProtection="1">
      <alignment horizontal="center"/>
    </xf>
    <xf numFmtId="3" fontId="2" fillId="37" borderId="34" xfId="0" applyNumberFormat="1" applyFont="1" applyFill="1" applyBorder="1" applyAlignment="1" applyProtection="1">
      <alignment horizontal="right"/>
    </xf>
    <xf numFmtId="0" fontId="1" fillId="0" borderId="63" xfId="0" applyFont="1" applyBorder="1" applyAlignment="1" applyProtection="1">
      <alignment horizontal="right"/>
    </xf>
    <xf numFmtId="0" fontId="5" fillId="0" borderId="64" xfId="0" applyFont="1" applyBorder="1" applyAlignment="1" applyProtection="1">
      <alignment horizontal="left" indent="1"/>
    </xf>
    <xf numFmtId="0" fontId="7" fillId="30" borderId="62" xfId="0" applyFont="1" applyFill="1" applyBorder="1" applyAlignment="1" applyProtection="1">
      <alignment horizontal="center" vertical="center"/>
    </xf>
    <xf numFmtId="0" fontId="43" fillId="29" borderId="0" xfId="0" applyFont="1" applyFill="1" applyProtection="1"/>
    <xf numFmtId="0" fontId="29" fillId="29" borderId="0" xfId="0" applyFont="1" applyFill="1" applyAlignment="1" applyProtection="1">
      <alignment horizontal="center"/>
    </xf>
    <xf numFmtId="0" fontId="65" fillId="36" borderId="0" xfId="0" applyFont="1" applyFill="1" applyAlignment="1" applyProtection="1">
      <alignment vertical="center"/>
    </xf>
    <xf numFmtId="0" fontId="5" fillId="30" borderId="141" xfId="0" applyFont="1" applyFill="1" applyBorder="1" applyAlignment="1" applyProtection="1">
      <alignment horizontal="left" vertical="center"/>
    </xf>
    <xf numFmtId="0" fontId="0" fillId="0" borderId="128" xfId="0" applyFill="1" applyBorder="1" applyProtection="1"/>
    <xf numFmtId="0" fontId="0" fillId="0" borderId="129" xfId="0" applyBorder="1" applyProtection="1"/>
    <xf numFmtId="3" fontId="16" fillId="37" borderId="0" xfId="0" applyNumberFormat="1" applyFont="1" applyFill="1" applyBorder="1" applyAlignment="1" applyProtection="1">
      <alignment vertical="center"/>
    </xf>
    <xf numFmtId="164" fontId="16" fillId="37" borderId="0" xfId="0" applyNumberFormat="1" applyFont="1" applyFill="1" applyBorder="1" applyAlignment="1" applyProtection="1">
      <alignment horizontal="right" vertical="center" indent="1"/>
    </xf>
    <xf numFmtId="0" fontId="0" fillId="0" borderId="130" xfId="0" applyFill="1" applyBorder="1" applyProtection="1"/>
    <xf numFmtId="0" fontId="57" fillId="0" borderId="130" xfId="0" applyFont="1" applyFill="1" applyBorder="1" applyAlignment="1" applyProtection="1">
      <alignment horizontal="center"/>
    </xf>
    <xf numFmtId="0" fontId="62" fillId="23" borderId="0" xfId="0" applyFont="1" applyFill="1" applyAlignment="1" applyProtection="1">
      <alignment horizontal="right"/>
    </xf>
    <xf numFmtId="164" fontId="16" fillId="37" borderId="0" xfId="0" applyNumberFormat="1" applyFont="1" applyFill="1" applyBorder="1" applyAlignment="1" applyProtection="1">
      <alignment horizontal="right" vertical="center"/>
    </xf>
    <xf numFmtId="0" fontId="5" fillId="33" borderId="62" xfId="0" applyFont="1" applyFill="1" applyBorder="1" applyAlignment="1" applyProtection="1">
      <alignment horizontal="center"/>
    </xf>
    <xf numFmtId="0" fontId="2" fillId="33" borderId="34" xfId="0" applyFont="1" applyFill="1" applyBorder="1" applyAlignment="1" applyProtection="1">
      <alignment horizontal="right"/>
    </xf>
    <xf numFmtId="3" fontId="2" fillId="33" borderId="34" xfId="0" applyNumberFormat="1" applyFont="1" applyFill="1" applyBorder="1" applyAlignment="1" applyProtection="1">
      <alignment horizontal="right"/>
    </xf>
    <xf numFmtId="3" fontId="24" fillId="33" borderId="34" xfId="0" applyNumberFormat="1" applyFont="1" applyFill="1" applyBorder="1" applyProtection="1"/>
    <xf numFmtId="0" fontId="74" fillId="23" borderId="0" xfId="0" applyFont="1" applyFill="1" applyAlignment="1" applyProtection="1">
      <alignment horizontal="right"/>
    </xf>
    <xf numFmtId="164" fontId="16" fillId="37" borderId="130" xfId="0" applyNumberFormat="1" applyFont="1" applyFill="1" applyBorder="1" applyAlignment="1" applyProtection="1">
      <alignment horizontal="right" vertical="center"/>
    </xf>
    <xf numFmtId="164" fontId="16" fillId="25" borderId="134" xfId="0" applyNumberFormat="1" applyFont="1" applyFill="1" applyBorder="1" applyAlignment="1" applyProtection="1">
      <alignment horizontal="left" vertical="center"/>
    </xf>
    <xf numFmtId="0" fontId="5" fillId="34" borderId="34" xfId="0" applyFont="1" applyFill="1" applyBorder="1" applyProtection="1"/>
    <xf numFmtId="0" fontId="0" fillId="34" borderId="64" xfId="0" applyFill="1" applyBorder="1" applyProtection="1"/>
    <xf numFmtId="167" fontId="2" fillId="34" borderId="54" xfId="0" applyNumberFormat="1" applyFont="1" applyFill="1" applyBorder="1" applyAlignment="1" applyProtection="1">
      <alignment horizontal="right" indent="1"/>
    </xf>
    <xf numFmtId="0" fontId="0" fillId="0" borderId="131" xfId="0" applyFill="1" applyBorder="1" applyProtection="1"/>
    <xf numFmtId="0" fontId="0" fillId="0" borderId="132" xfId="0" applyBorder="1" applyProtection="1"/>
    <xf numFmtId="0" fontId="0" fillId="0" borderId="131" xfId="0" applyBorder="1" applyProtection="1"/>
    <xf numFmtId="0" fontId="0" fillId="0" borderId="133" xfId="0" applyBorder="1" applyProtection="1"/>
    <xf numFmtId="0" fontId="4" fillId="35" borderId="135" xfId="0" applyFont="1" applyFill="1" applyBorder="1" applyAlignment="1" applyProtection="1">
      <alignment horizontal="center"/>
    </xf>
    <xf numFmtId="165" fontId="73" fillId="35" borderId="136" xfId="0" applyNumberFormat="1" applyFont="1" applyFill="1" applyBorder="1" applyAlignment="1" applyProtection="1">
      <alignment horizontal="center"/>
    </xf>
    <xf numFmtId="0" fontId="10" fillId="28" borderId="74" xfId="0" applyFont="1" applyFill="1" applyBorder="1" applyAlignment="1" applyProtection="1">
      <alignment horizontal="center"/>
    </xf>
    <xf numFmtId="164" fontId="73" fillId="25" borderId="119" xfId="0" applyNumberFormat="1" applyFont="1" applyFill="1" applyBorder="1" applyProtection="1"/>
    <xf numFmtId="0" fontId="73" fillId="25" borderId="120" xfId="0" applyFont="1" applyFill="1" applyBorder="1" applyProtection="1"/>
    <xf numFmtId="0" fontId="5" fillId="25" borderId="34" xfId="0" applyFont="1" applyFill="1" applyBorder="1" applyAlignment="1" applyProtection="1">
      <alignment horizontal="center"/>
    </xf>
    <xf numFmtId="0" fontId="5" fillId="25" borderId="34" xfId="0" applyFont="1" applyFill="1" applyBorder="1" applyProtection="1"/>
    <xf numFmtId="0" fontId="0" fillId="25" borderId="34" xfId="0" applyFill="1" applyBorder="1" applyProtection="1"/>
    <xf numFmtId="0" fontId="5" fillId="25" borderId="64" xfId="0" applyFont="1" applyFill="1" applyBorder="1" applyProtection="1"/>
    <xf numFmtId="0" fontId="0" fillId="25" borderId="63" xfId="0" applyFill="1" applyBorder="1" applyProtection="1"/>
    <xf numFmtId="0" fontId="7" fillId="0" borderId="0" xfId="0" applyFont="1" applyAlignment="1">
      <alignment horizontal="left" vertical="top" indent="1"/>
    </xf>
    <xf numFmtId="0" fontId="5" fillId="0" borderId="65" xfId="0" applyFont="1" applyBorder="1" applyProtection="1"/>
    <xf numFmtId="0" fontId="5" fillId="0" borderId="65" xfId="0" applyFont="1" applyBorder="1" applyAlignment="1" applyProtection="1">
      <alignment horizontal="left" indent="1"/>
    </xf>
    <xf numFmtId="0" fontId="5" fillId="4" borderId="35" xfId="0" applyFont="1" applyFill="1" applyBorder="1" applyAlignment="1" applyProtection="1">
      <alignment horizontal="center"/>
    </xf>
    <xf numFmtId="0" fontId="76" fillId="30" borderId="62" xfId="0" applyFont="1" applyFill="1" applyBorder="1" applyAlignment="1" applyProtection="1">
      <alignment horizontal="left" vertical="top"/>
    </xf>
    <xf numFmtId="0" fontId="8" fillId="32" borderId="3" xfId="0" applyFont="1" applyFill="1" applyBorder="1" applyAlignment="1">
      <alignment vertical="center"/>
    </xf>
    <xf numFmtId="0" fontId="13" fillId="40" borderId="0" xfId="0" applyFont="1" applyFill="1" applyBorder="1" applyAlignment="1">
      <alignment horizontal="center" vertical="center"/>
    </xf>
    <xf numFmtId="0" fontId="47" fillId="41" borderId="0" xfId="0" applyFont="1" applyFill="1" applyAlignment="1">
      <alignment horizontal="center" vertical="center"/>
    </xf>
    <xf numFmtId="0" fontId="47" fillId="41" borderId="0" xfId="0" quotePrefix="1" applyFont="1" applyFill="1" applyAlignment="1">
      <alignment horizontal="left" vertical="center"/>
    </xf>
    <xf numFmtId="0" fontId="14" fillId="41" borderId="0" xfId="0" applyFont="1" applyFill="1" applyAlignment="1">
      <alignment vertical="center"/>
    </xf>
    <xf numFmtId="0" fontId="2" fillId="37" borderId="34" xfId="0" applyNumberFormat="1" applyFont="1" applyFill="1" applyBorder="1" applyAlignment="1" applyProtection="1">
      <alignment horizontal="right"/>
    </xf>
    <xf numFmtId="0" fontId="5" fillId="28" borderId="64" xfId="0" applyFont="1" applyFill="1" applyBorder="1" applyAlignment="1" applyProtection="1"/>
    <xf numFmtId="0" fontId="1" fillId="28" borderId="63" xfId="0" applyFont="1" applyFill="1" applyBorder="1" applyAlignment="1" applyProtection="1">
      <alignment horizontal="right"/>
    </xf>
    <xf numFmtId="165" fontId="2" fillId="37" borderId="34" xfId="0" applyNumberFormat="1" applyFont="1" applyFill="1" applyBorder="1" applyAlignment="1" applyProtection="1">
      <alignment horizontal="right"/>
    </xf>
    <xf numFmtId="0" fontId="2" fillId="37" borderId="34" xfId="0" applyNumberFormat="1" applyFont="1" applyFill="1" applyBorder="1" applyAlignment="1" applyProtection="1">
      <alignment horizontal="center"/>
    </xf>
    <xf numFmtId="0" fontId="40" fillId="0" borderId="0" xfId="0" applyFont="1" applyAlignment="1">
      <alignment horizontal="center" vertical="center" wrapText="1"/>
    </xf>
    <xf numFmtId="0" fontId="22" fillId="0" borderId="0" xfId="0" applyFont="1"/>
    <xf numFmtId="0" fontId="5" fillId="0" borderId="0" xfId="0" applyFont="1" applyAlignment="1">
      <alignment horizontal="center"/>
    </xf>
    <xf numFmtId="3" fontId="77" fillId="24" borderId="59" xfId="0" applyNumberFormat="1" applyFont="1" applyFill="1" applyBorder="1" applyProtection="1">
      <protection locked="0"/>
    </xf>
    <xf numFmtId="3" fontId="77" fillId="24" borderId="60" xfId="0" applyNumberFormat="1" applyFont="1" applyFill="1" applyBorder="1" applyProtection="1">
      <protection locked="0"/>
    </xf>
    <xf numFmtId="3" fontId="77" fillId="26" borderId="30" xfId="0" applyNumberFormat="1" applyFont="1" applyFill="1" applyBorder="1"/>
    <xf numFmtId="0" fontId="77" fillId="26" borderId="29" xfId="0" applyFont="1" applyFill="1" applyBorder="1"/>
    <xf numFmtId="0" fontId="77" fillId="26" borderId="42" xfId="0" applyFont="1" applyFill="1" applyBorder="1"/>
    <xf numFmtId="164" fontId="77" fillId="26" borderId="59" xfId="0" applyNumberFormat="1" applyFont="1" applyFill="1" applyBorder="1" applyProtection="1">
      <protection locked="0"/>
    </xf>
    <xf numFmtId="164" fontId="77" fillId="26" borderId="60" xfId="0" applyNumberFormat="1" applyFont="1" applyFill="1" applyBorder="1" applyProtection="1">
      <protection locked="0"/>
    </xf>
    <xf numFmtId="164" fontId="77" fillId="26" borderId="0" xfId="0" applyNumberFormat="1" applyFont="1" applyFill="1" applyBorder="1"/>
    <xf numFmtId="166" fontId="77" fillId="26" borderId="0" xfId="0" applyNumberFormat="1" applyFont="1" applyFill="1" applyBorder="1"/>
    <xf numFmtId="165" fontId="78" fillId="26" borderId="0" xfId="0" applyNumberFormat="1" applyFont="1" applyFill="1" applyBorder="1"/>
    <xf numFmtId="164" fontId="78" fillId="22" borderId="61" xfId="0" applyNumberFormat="1" applyFont="1" applyFill="1" applyBorder="1" applyAlignment="1">
      <alignment horizontal="right"/>
    </xf>
    <xf numFmtId="0" fontId="78" fillId="26" borderId="14" xfId="0" applyFont="1" applyFill="1" applyBorder="1" applyAlignment="1" applyProtection="1">
      <alignment horizontal="right"/>
    </xf>
    <xf numFmtId="164" fontId="77" fillId="26" borderId="43" xfId="0" applyNumberFormat="1" applyFont="1" applyFill="1" applyBorder="1"/>
    <xf numFmtId="166" fontId="77" fillId="26" borderId="43" xfId="0" applyNumberFormat="1" applyFont="1" applyFill="1" applyBorder="1"/>
    <xf numFmtId="165" fontId="78" fillId="26" borderId="43" xfId="0" applyNumberFormat="1" applyFont="1" applyFill="1" applyBorder="1"/>
    <xf numFmtId="0" fontId="78" fillId="26" borderId="44" xfId="0" applyFont="1" applyFill="1" applyBorder="1" applyAlignment="1" applyProtection="1">
      <alignment horizontal="right"/>
    </xf>
    <xf numFmtId="0" fontId="44" fillId="0" borderId="130" xfId="0" applyFont="1" applyFill="1" applyBorder="1" applyProtection="1"/>
    <xf numFmtId="0" fontId="44" fillId="0" borderId="130" xfId="0" applyFont="1" applyFill="1" applyBorder="1" applyAlignment="1" applyProtection="1">
      <alignment horizontal="center"/>
    </xf>
    <xf numFmtId="4" fontId="58" fillId="0" borderId="6" xfId="0" applyNumberFormat="1" applyFont="1" applyFill="1" applyBorder="1" applyAlignment="1">
      <alignment horizontal="right" vertical="center" indent="1"/>
    </xf>
    <xf numFmtId="4" fontId="2" fillId="37" borderId="34" xfId="0" applyNumberFormat="1" applyFont="1" applyFill="1" applyBorder="1" applyAlignment="1" applyProtection="1">
      <alignment horizontal="right" vertical="center"/>
    </xf>
    <xf numFmtId="0" fontId="17" fillId="37" borderId="34" xfId="0" applyNumberFormat="1" applyFont="1" applyFill="1" applyBorder="1" applyAlignment="1" applyProtection="1">
      <alignment horizontal="center" vertical="center"/>
    </xf>
    <xf numFmtId="0" fontId="5" fillId="28" borderId="145" xfId="0" applyFont="1" applyFill="1" applyBorder="1" applyAlignment="1" applyProtection="1">
      <alignment horizontal="left" vertical="center"/>
    </xf>
    <xf numFmtId="0" fontId="5" fillId="28" borderId="34" xfId="0" applyFont="1" applyFill="1" applyBorder="1" applyAlignment="1" applyProtection="1">
      <alignment horizontal="left" vertical="center"/>
    </xf>
    <xf numFmtId="0" fontId="5" fillId="28" borderId="35" xfId="0" applyFont="1" applyFill="1" applyBorder="1" applyAlignment="1" applyProtection="1">
      <alignment horizontal="left" vertical="center"/>
    </xf>
    <xf numFmtId="0" fontId="5" fillId="33" borderId="34" xfId="0" applyFont="1" applyFill="1" applyBorder="1" applyAlignment="1" applyProtection="1">
      <alignment horizontal="left"/>
    </xf>
    <xf numFmtId="0" fontId="35" fillId="29" borderId="0" xfId="0" applyFont="1" applyFill="1" applyProtection="1"/>
    <xf numFmtId="0" fontId="0" fillId="29" borderId="0" xfId="0" applyFill="1" applyBorder="1" applyProtection="1"/>
    <xf numFmtId="0" fontId="80" fillId="29" borderId="118" xfId="0" quotePrefix="1" applyFont="1" applyFill="1" applyBorder="1" applyAlignment="1" applyProtection="1">
      <alignment vertical="center"/>
    </xf>
    <xf numFmtId="0" fontId="10" fillId="29" borderId="118" xfId="0" applyFont="1" applyFill="1" applyBorder="1" applyAlignment="1" applyProtection="1">
      <alignment horizontal="left" indent="1"/>
    </xf>
    <xf numFmtId="0" fontId="46" fillId="29" borderId="118" xfId="0" applyFont="1" applyFill="1" applyBorder="1" applyAlignment="1" applyProtection="1">
      <alignment horizontal="left" vertical="center" indent="1"/>
    </xf>
    <xf numFmtId="0" fontId="5" fillId="29" borderId="147" xfId="0" applyFont="1" applyFill="1" applyBorder="1" applyAlignment="1" applyProtection="1">
      <alignment horizontal="center" vertical="center"/>
    </xf>
    <xf numFmtId="0" fontId="81" fillId="29" borderId="0" xfId="0" applyFont="1" applyFill="1" applyBorder="1" applyAlignment="1" applyProtection="1">
      <alignment horizontal="left" vertical="center" indent="1"/>
    </xf>
    <xf numFmtId="0" fontId="45" fillId="29" borderId="152" xfId="0" applyFont="1" applyFill="1" applyBorder="1" applyAlignment="1" applyProtection="1">
      <alignment vertical="center"/>
    </xf>
    <xf numFmtId="0" fontId="0" fillId="29" borderId="154" xfId="0" applyFill="1" applyBorder="1" applyAlignment="1" applyProtection="1">
      <alignment vertical="center"/>
    </xf>
    <xf numFmtId="0" fontId="10" fillId="29" borderId="146" xfId="0" applyFont="1" applyFill="1" applyBorder="1" applyAlignment="1" applyProtection="1">
      <alignment vertical="center"/>
    </xf>
    <xf numFmtId="0" fontId="0" fillId="29" borderId="0" xfId="0" applyFill="1" applyBorder="1" applyAlignment="1" applyProtection="1">
      <alignment vertical="center"/>
    </xf>
    <xf numFmtId="0" fontId="35" fillId="29" borderId="149" xfId="0" applyFont="1" applyFill="1" applyBorder="1" applyAlignment="1" applyProtection="1">
      <alignment vertical="center"/>
    </xf>
    <xf numFmtId="0" fontId="82" fillId="29" borderId="150" xfId="0" applyFont="1" applyFill="1" applyBorder="1" applyAlignment="1" applyProtection="1">
      <alignment horizontal="center" vertical="center"/>
    </xf>
    <xf numFmtId="0" fontId="0" fillId="29" borderId="151" xfId="0" applyFill="1" applyBorder="1" applyAlignment="1" applyProtection="1">
      <alignment vertical="center"/>
    </xf>
    <xf numFmtId="0" fontId="45" fillId="29" borderId="146" xfId="0" applyFont="1" applyFill="1" applyBorder="1" applyAlignment="1" applyProtection="1">
      <alignment vertical="center"/>
    </xf>
    <xf numFmtId="0" fontId="0" fillId="29" borderId="0" xfId="0" applyFill="1" applyAlignment="1" applyProtection="1">
      <alignment vertical="center"/>
    </xf>
    <xf numFmtId="0" fontId="5" fillId="29" borderId="153" xfId="0" applyFont="1" applyFill="1" applyBorder="1" applyAlignment="1" applyProtection="1">
      <alignment horizontal="center" vertical="center"/>
    </xf>
    <xf numFmtId="0" fontId="0" fillId="29" borderId="150" xfId="0" applyFill="1" applyBorder="1" applyAlignment="1" applyProtection="1">
      <alignment vertical="center"/>
    </xf>
    <xf numFmtId="0" fontId="7" fillId="29" borderId="0" xfId="0" applyFont="1" applyFill="1" applyBorder="1" applyAlignment="1" applyProtection="1">
      <alignment horizontal="left" vertical="center"/>
    </xf>
    <xf numFmtId="0" fontId="6" fillId="29" borderId="153" xfId="0" applyFont="1" applyFill="1" applyBorder="1" applyAlignment="1" applyProtection="1">
      <alignment horizontal="center" vertical="center"/>
    </xf>
    <xf numFmtId="0" fontId="3" fillId="29" borderId="146" xfId="0" applyFont="1" applyFill="1" applyBorder="1" applyAlignment="1" applyProtection="1">
      <alignment vertical="center"/>
    </xf>
    <xf numFmtId="0" fontId="6" fillId="29" borderId="146" xfId="0" applyFont="1" applyFill="1" applyBorder="1" applyAlignment="1" applyProtection="1">
      <alignment horizontal="center" vertical="center"/>
    </xf>
    <xf numFmtId="0" fontId="6" fillId="29" borderId="155" xfId="0" applyFont="1" applyFill="1" applyBorder="1" applyAlignment="1" applyProtection="1">
      <alignment horizontal="center" vertical="center"/>
    </xf>
    <xf numFmtId="0" fontId="6" fillId="29" borderId="156" xfId="0" applyFont="1" applyFill="1" applyBorder="1" applyAlignment="1" applyProtection="1">
      <alignment horizontal="center" vertical="center"/>
    </xf>
    <xf numFmtId="0" fontId="35" fillId="29" borderId="157" xfId="0" applyFont="1" applyFill="1" applyBorder="1" applyAlignment="1" applyProtection="1">
      <alignment vertical="center"/>
    </xf>
    <xf numFmtId="0" fontId="13" fillId="9" borderId="0" xfId="0" applyFont="1" applyFill="1" applyBorder="1" applyAlignment="1">
      <alignment horizontal="left" vertical="center"/>
    </xf>
    <xf numFmtId="0" fontId="14" fillId="10" borderId="0" xfId="0" applyFont="1" applyFill="1" applyAlignment="1">
      <alignment vertical="center"/>
    </xf>
    <xf numFmtId="0" fontId="47" fillId="10" borderId="0" xfId="0" applyFont="1" applyFill="1" applyAlignment="1">
      <alignment vertical="center"/>
    </xf>
    <xf numFmtId="0" fontId="36" fillId="37" borderId="158" xfId="0" applyFont="1" applyFill="1" applyBorder="1" applyAlignment="1" applyProtection="1">
      <alignment horizontal="center" vertical="center"/>
    </xf>
    <xf numFmtId="171" fontId="36" fillId="37" borderId="158" xfId="0" applyNumberFormat="1" applyFont="1" applyFill="1" applyBorder="1" applyAlignment="1" applyProtection="1">
      <alignment horizontal="center" vertical="center"/>
    </xf>
    <xf numFmtId="0" fontId="29" fillId="37" borderId="146" xfId="0" applyFont="1" applyFill="1" applyBorder="1" applyAlignment="1" applyProtection="1">
      <alignment horizontal="center" vertical="center"/>
    </xf>
    <xf numFmtId="165" fontId="7" fillId="25" borderId="34" xfId="0" applyNumberFormat="1" applyFont="1" applyFill="1" applyBorder="1" applyAlignment="1" applyProtection="1">
      <alignment horizontal="right" vertical="center"/>
    </xf>
    <xf numFmtId="0" fontId="2" fillId="37" borderId="34" xfId="0" applyNumberFormat="1" applyFont="1" applyFill="1" applyBorder="1" applyAlignment="1" applyProtection="1">
      <alignment horizontal="right" vertical="center"/>
    </xf>
    <xf numFmtId="0" fontId="2" fillId="37" borderId="34" xfId="0" applyNumberFormat="1" applyFont="1" applyFill="1" applyBorder="1" applyAlignment="1" applyProtection="1">
      <alignment horizontal="left" vertical="center"/>
    </xf>
    <xf numFmtId="165" fontId="7" fillId="0" borderId="8" xfId="0" applyNumberFormat="1" applyFont="1" applyFill="1" applyBorder="1" applyAlignment="1">
      <alignment horizontal="right" vertical="center" indent="1"/>
    </xf>
    <xf numFmtId="0" fontId="8" fillId="0" borderId="160" xfId="0" applyFont="1" applyFill="1" applyBorder="1" applyAlignment="1">
      <alignment vertical="center"/>
    </xf>
    <xf numFmtId="165" fontId="24" fillId="4" borderId="161" xfId="0" applyNumberFormat="1" applyFont="1" applyFill="1" applyBorder="1" applyAlignment="1">
      <alignment horizontal="right" vertical="center" indent="1"/>
    </xf>
    <xf numFmtId="0" fontId="7" fillId="2" borderId="67" xfId="0" applyNumberFormat="1" applyFont="1" applyFill="1" applyBorder="1" applyAlignment="1">
      <alignment horizontal="right" vertical="center" indent="1"/>
    </xf>
    <xf numFmtId="164" fontId="2" fillId="4" borderId="161" xfId="0" applyNumberFormat="1" applyFont="1" applyFill="1" applyBorder="1" applyAlignment="1">
      <alignment horizontal="right" vertical="center" indent="1"/>
    </xf>
    <xf numFmtId="0" fontId="88" fillId="29" borderId="0" xfId="0" applyFont="1" applyFill="1"/>
    <xf numFmtId="0" fontId="91" fillId="29" borderId="0" xfId="0" applyFont="1" applyFill="1"/>
    <xf numFmtId="0" fontId="5" fillId="29" borderId="0" xfId="0" applyFont="1" applyFill="1" applyAlignment="1" applyProtection="1">
      <alignment vertical="center"/>
    </xf>
    <xf numFmtId="0" fontId="5" fillId="29" borderId="33" xfId="0" applyFont="1" applyFill="1" applyBorder="1" applyAlignment="1" applyProtection="1">
      <alignment vertical="center"/>
    </xf>
    <xf numFmtId="3" fontId="9" fillId="42" borderId="115" xfId="0" applyNumberFormat="1" applyFont="1" applyFill="1" applyBorder="1" applyAlignment="1">
      <alignment horizontal="left"/>
    </xf>
    <xf numFmtId="0" fontId="0" fillId="42" borderId="0" xfId="0" applyFill="1" applyBorder="1" applyAlignment="1">
      <alignment vertical="center"/>
    </xf>
    <xf numFmtId="3" fontId="9" fillId="42" borderId="0" xfId="0" applyNumberFormat="1" applyFont="1" applyFill="1" applyBorder="1" applyAlignment="1">
      <alignment horizontal="right"/>
    </xf>
    <xf numFmtId="0" fontId="0" fillId="42" borderId="115" xfId="0" applyFill="1" applyBorder="1"/>
    <xf numFmtId="0" fontId="0" fillId="42" borderId="0" xfId="0" applyFill="1"/>
    <xf numFmtId="0" fontId="5" fillId="42" borderId="0" xfId="0" applyFont="1" applyFill="1" applyAlignment="1">
      <alignment horizontal="center" vertical="center"/>
    </xf>
    <xf numFmtId="0" fontId="53" fillId="43" borderId="114" xfId="0" applyFont="1" applyFill="1" applyBorder="1" applyAlignment="1" applyProtection="1">
      <alignment horizontal="center" vertical="center"/>
      <protection locked="0"/>
    </xf>
    <xf numFmtId="0" fontId="76" fillId="29" borderId="0" xfId="0" applyFont="1" applyFill="1" applyBorder="1" applyAlignment="1" applyProtection="1">
      <alignment horizontal="right"/>
    </xf>
    <xf numFmtId="0" fontId="1" fillId="28" borderId="65" xfId="0" applyFont="1" applyFill="1" applyBorder="1" applyAlignment="1" applyProtection="1">
      <alignment horizontal="right" vertical="center"/>
    </xf>
    <xf numFmtId="164" fontId="2" fillId="37" borderId="34" xfId="0" applyNumberFormat="1" applyFont="1" applyFill="1" applyBorder="1" applyAlignment="1" applyProtection="1">
      <alignment horizontal="right" indent="1"/>
    </xf>
    <xf numFmtId="0" fontId="50" fillId="0" borderId="0" xfId="0" quotePrefix="1" applyFont="1" applyBorder="1" applyAlignment="1">
      <alignment horizontal="left" vertical="center"/>
    </xf>
    <xf numFmtId="0" fontId="7" fillId="0" borderId="0" xfId="0" applyFont="1" applyBorder="1" applyAlignment="1">
      <alignment horizontal="center" vertical="center" wrapText="1"/>
    </xf>
    <xf numFmtId="0" fontId="27"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8" fillId="0" borderId="0" xfId="0" applyFont="1" applyBorder="1" applyAlignment="1">
      <alignment horizontal="center"/>
    </xf>
    <xf numFmtId="164" fontId="92" fillId="0" borderId="0" xfId="0" applyNumberFormat="1" applyFont="1" applyAlignment="1">
      <alignment horizontal="center"/>
    </xf>
    <xf numFmtId="0" fontId="93" fillId="0" borderId="0" xfId="0" applyFont="1"/>
    <xf numFmtId="0" fontId="93" fillId="0" borderId="0" xfId="0" applyFont="1" applyProtection="1">
      <protection locked="0"/>
    </xf>
    <xf numFmtId="0" fontId="6" fillId="0" borderId="0" xfId="0" applyFont="1" applyAlignment="1">
      <alignment vertical="center"/>
    </xf>
    <xf numFmtId="0" fontId="94" fillId="0" borderId="0" xfId="0" applyFont="1" applyAlignment="1">
      <alignment horizontal="right" vertical="center"/>
    </xf>
    <xf numFmtId="0" fontId="95" fillId="23" borderId="0" xfId="0" applyFont="1" applyFill="1" applyBorder="1" applyAlignment="1" applyProtection="1">
      <alignment horizontal="right" vertical="center"/>
    </xf>
    <xf numFmtId="3" fontId="7" fillId="25" borderId="34" xfId="0" applyNumberFormat="1" applyFont="1" applyFill="1" applyBorder="1" applyAlignment="1" applyProtection="1">
      <alignment horizontal="right" vertical="center" indent="1"/>
    </xf>
    <xf numFmtId="164" fontId="96" fillId="0" borderId="0" xfId="0" applyNumberFormat="1" applyFont="1" applyAlignment="1">
      <alignment horizontal="center"/>
    </xf>
    <xf numFmtId="0" fontId="6" fillId="0" borderId="3" xfId="0" applyFont="1" applyFill="1" applyBorder="1" applyAlignment="1"/>
    <xf numFmtId="0" fontId="5" fillId="0" borderId="33" xfId="0" applyFont="1" applyBorder="1" applyAlignment="1"/>
    <xf numFmtId="0" fontId="4" fillId="0" borderId="33" xfId="0" applyFont="1" applyBorder="1"/>
    <xf numFmtId="0" fontId="19" fillId="0" borderId="33" xfId="0" applyFont="1" applyBorder="1"/>
    <xf numFmtId="0" fontId="22" fillId="0" borderId="0" xfId="0" applyFont="1"/>
    <xf numFmtId="0" fontId="5" fillId="0" borderId="0" xfId="0" applyFont="1" applyAlignment="1">
      <alignment horizontal="center"/>
    </xf>
    <xf numFmtId="164" fontId="16" fillId="25" borderId="0" xfId="0" applyNumberFormat="1" applyFont="1" applyFill="1" applyBorder="1" applyAlignment="1" applyProtection="1">
      <alignment vertical="center"/>
    </xf>
    <xf numFmtId="3" fontId="16" fillId="25" borderId="20" xfId="0" applyNumberFormat="1" applyFont="1" applyFill="1" applyBorder="1" applyAlignment="1" applyProtection="1">
      <alignment horizontal="left" vertical="center"/>
    </xf>
    <xf numFmtId="3" fontId="16" fillId="25" borderId="20" xfId="0" applyNumberFormat="1" applyFont="1" applyFill="1" applyBorder="1" applyAlignment="1" applyProtection="1">
      <alignment horizontal="left" vertical="center"/>
      <protection locked="0"/>
    </xf>
    <xf numFmtId="164" fontId="16" fillId="25" borderId="0" xfId="0" applyNumberFormat="1" applyFont="1" applyFill="1" applyBorder="1" applyAlignment="1" applyProtection="1">
      <alignment vertical="center"/>
      <protection locked="0"/>
    </xf>
    <xf numFmtId="164" fontId="16" fillId="25" borderId="0" xfId="0" applyNumberFormat="1" applyFont="1" applyFill="1" applyBorder="1" applyAlignment="1" applyProtection="1">
      <alignment horizontal="right" vertical="center"/>
      <protection locked="0"/>
    </xf>
    <xf numFmtId="164" fontId="16" fillId="25" borderId="0" xfId="0" applyNumberFormat="1" applyFont="1" applyFill="1" applyBorder="1" applyAlignment="1" applyProtection="1">
      <alignment horizontal="right" vertical="center"/>
    </xf>
    <xf numFmtId="0" fontId="0" fillId="0" borderId="0" xfId="0" applyProtection="1">
      <protection locked="0"/>
    </xf>
    <xf numFmtId="0" fontId="1" fillId="42" borderId="50"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5" fillId="0" borderId="0" xfId="0" applyFont="1" applyAlignment="1">
      <alignment horizontal="center"/>
    </xf>
    <xf numFmtId="3" fontId="7" fillId="0" borderId="168" xfId="0" applyNumberFormat="1" applyFont="1" applyFill="1" applyBorder="1" applyAlignment="1">
      <alignment horizontal="right" vertical="center" indent="1"/>
    </xf>
    <xf numFmtId="3" fontId="7" fillId="0" borderId="169" xfId="0" applyNumberFormat="1" applyFont="1" applyFill="1" applyBorder="1" applyAlignment="1">
      <alignment horizontal="right" vertical="center" indent="1"/>
    </xf>
    <xf numFmtId="3" fontId="7" fillId="0" borderId="170" xfId="0" applyNumberFormat="1" applyFont="1" applyFill="1" applyBorder="1" applyAlignment="1">
      <alignment horizontal="right" vertical="center" indent="1"/>
    </xf>
    <xf numFmtId="0" fontId="60" fillId="29" borderId="0" xfId="0" applyFont="1" applyFill="1" applyBorder="1" applyAlignment="1" applyProtection="1">
      <alignment vertical="center"/>
    </xf>
    <xf numFmtId="0" fontId="4" fillId="0" borderId="0" xfId="0" applyFont="1" applyAlignment="1">
      <alignment vertical="center"/>
    </xf>
    <xf numFmtId="0" fontId="7" fillId="29" borderId="154" xfId="0" applyFont="1" applyFill="1" applyBorder="1" applyAlignment="1" applyProtection="1">
      <alignment horizontal="left" vertical="center"/>
    </xf>
    <xf numFmtId="0" fontId="84" fillId="29" borderId="151" xfId="0" applyFont="1" applyFill="1" applyBorder="1" applyAlignment="1" applyProtection="1">
      <alignment horizontal="right" vertical="center"/>
    </xf>
    <xf numFmtId="0" fontId="3" fillId="29" borderId="181" xfId="0" applyFont="1" applyFill="1" applyBorder="1" applyAlignment="1" applyProtection="1">
      <alignment vertical="center"/>
    </xf>
    <xf numFmtId="0" fontId="3" fillId="29" borderId="183" xfId="0" applyFont="1" applyFill="1" applyBorder="1" applyAlignment="1" applyProtection="1">
      <alignment vertical="center"/>
    </xf>
    <xf numFmtId="0" fontId="35" fillId="29" borderId="186" xfId="0" applyFont="1" applyFill="1" applyBorder="1" applyAlignment="1" applyProtection="1">
      <alignment vertical="center"/>
    </xf>
    <xf numFmtId="0" fontId="82" fillId="29" borderId="183" xfId="0" applyFont="1" applyFill="1" applyBorder="1" applyAlignment="1" applyProtection="1">
      <alignment horizontal="left" vertical="top"/>
    </xf>
    <xf numFmtId="0" fontId="10" fillId="29" borderId="150" xfId="0" applyFont="1" applyFill="1" applyBorder="1" applyAlignment="1" applyProtection="1">
      <alignment vertical="center"/>
    </xf>
    <xf numFmtId="0" fontId="0" fillId="29" borderId="154" xfId="0" applyFill="1" applyBorder="1" applyProtection="1"/>
    <xf numFmtId="0" fontId="10" fillId="29" borderId="149" xfId="0" applyFont="1" applyFill="1" applyBorder="1" applyAlignment="1" applyProtection="1">
      <alignment vertical="center"/>
    </xf>
    <xf numFmtId="0" fontId="36" fillId="37" borderId="187" xfId="0" applyFont="1" applyFill="1" applyBorder="1" applyAlignment="1" applyProtection="1">
      <alignment horizontal="center" vertical="center"/>
    </xf>
    <xf numFmtId="0" fontId="0" fillId="29" borderId="151" xfId="0" applyFill="1" applyBorder="1" applyProtection="1"/>
    <xf numFmtId="0" fontId="44" fillId="29" borderId="154" xfId="0" applyFont="1" applyFill="1" applyBorder="1" applyProtection="1"/>
    <xf numFmtId="0" fontId="54" fillId="0" borderId="0" xfId="0" applyFont="1" applyFill="1" applyAlignment="1">
      <alignment horizontal="left"/>
    </xf>
    <xf numFmtId="0" fontId="54" fillId="0" borderId="0" xfId="0" applyFont="1" applyFill="1"/>
    <xf numFmtId="0" fontId="99" fillId="0" borderId="0" xfId="0" applyFont="1"/>
    <xf numFmtId="1" fontId="1" fillId="24" borderId="0" xfId="0" applyNumberFormat="1" applyFont="1" applyFill="1" applyBorder="1" applyAlignment="1" applyProtection="1">
      <alignment horizontal="center" vertical="center"/>
    </xf>
    <xf numFmtId="0" fontId="5" fillId="24" borderId="188" xfId="0" applyFont="1" applyFill="1" applyBorder="1" applyAlignment="1" applyProtection="1">
      <alignment horizontal="center" vertical="center"/>
    </xf>
    <xf numFmtId="0" fontId="82" fillId="29" borderId="189" xfId="0" applyFont="1" applyFill="1" applyBorder="1" applyAlignment="1" applyProtection="1">
      <alignment horizontal="left" vertical="center"/>
    </xf>
    <xf numFmtId="0" fontId="5" fillId="24" borderId="148" xfId="0" applyFont="1" applyFill="1" applyBorder="1" applyAlignment="1" applyProtection="1">
      <alignment horizontal="center" vertical="center"/>
    </xf>
    <xf numFmtId="0" fontId="100" fillId="29" borderId="0" xfId="0" applyFont="1" applyFill="1" applyBorder="1" applyAlignment="1" applyProtection="1">
      <alignment vertical="center"/>
    </xf>
    <xf numFmtId="0" fontId="101" fillId="31" borderId="0" xfId="0" applyFont="1" applyFill="1" applyBorder="1" applyAlignment="1" applyProtection="1">
      <alignment vertical="center"/>
    </xf>
    <xf numFmtId="0" fontId="5" fillId="0" borderId="0" xfId="0" applyFont="1" applyAlignment="1">
      <alignment horizontal="center"/>
    </xf>
    <xf numFmtId="0" fontId="1" fillId="5" borderId="50" xfId="0" applyFont="1" applyFill="1" applyBorder="1" applyAlignment="1" applyProtection="1">
      <alignment horizontal="center" vertical="center"/>
      <protection locked="0"/>
    </xf>
    <xf numFmtId="0" fontId="1" fillId="0" borderId="53" xfId="0" applyFont="1" applyFill="1" applyBorder="1" applyAlignment="1">
      <alignment vertical="center"/>
    </xf>
    <xf numFmtId="0" fontId="7" fillId="0" borderId="53" xfId="0" applyFont="1" applyFill="1" applyBorder="1" applyAlignment="1">
      <alignment vertical="center"/>
    </xf>
    <xf numFmtId="3" fontId="7" fillId="0" borderId="9" xfId="0" applyNumberFormat="1" applyFont="1" applyFill="1" applyBorder="1" applyAlignment="1">
      <alignment horizontal="right" vertical="center" indent="1"/>
    </xf>
    <xf numFmtId="3" fontId="2" fillId="0" borderId="53" xfId="0" applyNumberFormat="1" applyFont="1" applyFill="1" applyBorder="1" applyAlignment="1">
      <alignment horizontal="right" vertical="center" indent="1"/>
    </xf>
    <xf numFmtId="3" fontId="7" fillId="0" borderId="53" xfId="0" applyNumberFormat="1" applyFont="1" applyFill="1" applyBorder="1" applyAlignment="1">
      <alignment horizontal="right" vertical="center" indent="1"/>
    </xf>
    <xf numFmtId="3" fontId="7" fillId="0" borderId="9" xfId="0" applyNumberFormat="1" applyFont="1" applyFill="1" applyBorder="1" applyAlignment="1">
      <alignment horizontal="center" vertical="center"/>
    </xf>
    <xf numFmtId="3" fontId="7" fillId="0" borderId="53" xfId="0" applyNumberFormat="1" applyFont="1" applyFill="1" applyBorder="1" applyAlignment="1">
      <alignment horizontal="center" vertical="center"/>
    </xf>
    <xf numFmtId="3" fontId="7" fillId="0" borderId="194" xfId="0" applyNumberFormat="1" applyFont="1" applyFill="1" applyBorder="1" applyAlignment="1">
      <alignment horizontal="right" vertical="center" indent="1"/>
    </xf>
    <xf numFmtId="0" fontId="1" fillId="5" borderId="50" xfId="0" applyFont="1" applyFill="1" applyBorder="1" applyAlignment="1" applyProtection="1">
      <alignment horizontal="center" vertical="center"/>
      <protection locked="0"/>
    </xf>
    <xf numFmtId="0" fontId="5" fillId="0" borderId="0" xfId="0" applyFont="1" applyAlignment="1">
      <alignment horizontal="center"/>
    </xf>
    <xf numFmtId="0" fontId="5" fillId="0" borderId="0" xfId="0" applyFont="1" applyAlignment="1">
      <alignment horizontal="center"/>
    </xf>
    <xf numFmtId="0" fontId="1" fillId="5" borderId="50" xfId="0" applyFont="1" applyFill="1" applyBorder="1" applyAlignment="1" applyProtection="1">
      <alignment horizontal="center" vertical="center"/>
      <protection locked="0"/>
    </xf>
    <xf numFmtId="0" fontId="0" fillId="0" borderId="0" xfId="0" applyFill="1"/>
    <xf numFmtId="0" fontId="0" fillId="0" borderId="0" xfId="0" applyFill="1" applyAlignment="1">
      <alignment vertical="center"/>
    </xf>
    <xf numFmtId="0" fontId="44" fillId="0" borderId="0" xfId="0" applyFont="1"/>
    <xf numFmtId="0" fontId="0" fillId="47" borderId="0" xfId="0" applyFill="1" applyAlignment="1">
      <alignment vertical="center"/>
    </xf>
    <xf numFmtId="0" fontId="0" fillId="36" borderId="0" xfId="0" applyFill="1" applyAlignment="1">
      <alignment vertical="center"/>
    </xf>
    <xf numFmtId="0" fontId="0" fillId="48" borderId="0" xfId="0" applyFill="1" applyAlignment="1">
      <alignment vertical="center"/>
    </xf>
    <xf numFmtId="0" fontId="69" fillId="14" borderId="57" xfId="0" applyFont="1" applyFill="1" applyBorder="1" applyAlignment="1" applyProtection="1">
      <alignment horizontal="center"/>
    </xf>
    <xf numFmtId="169" fontId="69" fillId="14" borderId="58" xfId="0" applyNumberFormat="1" applyFont="1" applyFill="1" applyBorder="1" applyAlignment="1" applyProtection="1">
      <alignment horizontal="center"/>
    </xf>
    <xf numFmtId="0" fontId="1" fillId="5" borderId="50" xfId="0" applyFont="1" applyFill="1" applyBorder="1" applyAlignment="1" applyProtection="1">
      <alignment horizontal="center" vertical="center"/>
      <protection locked="0"/>
    </xf>
    <xf numFmtId="0" fontId="5" fillId="0" borderId="0" xfId="0" applyFont="1" applyAlignment="1">
      <alignment horizontal="center"/>
    </xf>
    <xf numFmtId="0" fontId="1" fillId="5" borderId="50" xfId="0" applyFont="1" applyFill="1" applyBorder="1" applyAlignment="1" applyProtection="1">
      <alignment horizontal="center" vertical="center"/>
      <protection locked="0"/>
    </xf>
    <xf numFmtId="0" fontId="5" fillId="0" borderId="0" xfId="0" applyFont="1" applyAlignment="1">
      <alignment horizontal="center"/>
    </xf>
    <xf numFmtId="0" fontId="103" fillId="0" borderId="0" xfId="0" applyFont="1" applyAlignment="1">
      <alignment horizontal="left"/>
    </xf>
    <xf numFmtId="0" fontId="103" fillId="0" borderId="0" xfId="0" applyFont="1"/>
    <xf numFmtId="0" fontId="104" fillId="49" borderId="0" xfId="0" applyFont="1" applyFill="1" applyAlignment="1">
      <alignment horizontal="left"/>
    </xf>
    <xf numFmtId="0" fontId="0" fillId="49" borderId="0" xfId="0" applyFill="1"/>
    <xf numFmtId="0" fontId="12" fillId="49" borderId="0" xfId="0" applyFont="1" applyFill="1" applyAlignment="1">
      <alignment horizontal="left" indent="1"/>
    </xf>
    <xf numFmtId="0" fontId="44" fillId="0" borderId="31" xfId="0" applyFont="1" applyFill="1" applyBorder="1" applyAlignment="1">
      <alignment vertical="center"/>
    </xf>
    <xf numFmtId="0" fontId="1" fillId="0" borderId="12" xfId="0" applyFont="1" applyFill="1" applyBorder="1" applyAlignment="1">
      <alignment vertical="center"/>
    </xf>
    <xf numFmtId="0" fontId="7" fillId="0" borderId="12" xfId="0" applyFont="1" applyFill="1" applyBorder="1" applyAlignment="1">
      <alignment vertical="center"/>
    </xf>
    <xf numFmtId="3" fontId="7" fillId="0" borderId="198" xfId="0" applyNumberFormat="1" applyFont="1" applyFill="1" applyBorder="1" applyAlignment="1">
      <alignment horizontal="right" vertical="center" indent="1"/>
    </xf>
    <xf numFmtId="3" fontId="2" fillId="0" borderId="12" xfId="0" applyNumberFormat="1" applyFont="1" applyFill="1" applyBorder="1" applyAlignment="1">
      <alignment horizontal="right" vertical="center" indent="1"/>
    </xf>
    <xf numFmtId="3" fontId="7" fillId="0" borderId="12" xfId="0" applyNumberFormat="1" applyFont="1" applyFill="1" applyBorder="1" applyAlignment="1">
      <alignment horizontal="right" vertical="center" indent="1"/>
    </xf>
    <xf numFmtId="3" fontId="7" fillId="0" borderId="198"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3" fontId="2" fillId="0" borderId="199" xfId="0" applyNumberFormat="1" applyFont="1" applyFill="1" applyBorder="1" applyAlignment="1">
      <alignment horizontal="right" vertical="center" indent="1"/>
    </xf>
    <xf numFmtId="3" fontId="2" fillId="0" borderId="200" xfId="0" applyNumberFormat="1" applyFont="1" applyFill="1" applyBorder="1" applyAlignment="1">
      <alignment horizontal="right" vertical="center" indent="1"/>
    </xf>
    <xf numFmtId="3" fontId="7" fillId="0" borderId="201" xfId="0" applyNumberFormat="1" applyFont="1" applyFill="1" applyBorder="1" applyAlignment="1">
      <alignment horizontal="right" vertical="center" indent="1"/>
    </xf>
    <xf numFmtId="0" fontId="1" fillId="5" borderId="50" xfId="0" applyFont="1" applyFill="1" applyBorder="1" applyAlignment="1" applyProtection="1">
      <alignment horizontal="center" vertical="center"/>
      <protection locked="0"/>
    </xf>
    <xf numFmtId="0" fontId="5" fillId="0" borderId="0" xfId="0" applyFont="1" applyAlignment="1">
      <alignment horizontal="center"/>
    </xf>
    <xf numFmtId="0" fontId="105" fillId="49" borderId="0" xfId="0" applyFont="1" applyFill="1"/>
    <xf numFmtId="0" fontId="106" fillId="49" borderId="0" xfId="0" applyFont="1" applyFill="1"/>
    <xf numFmtId="0" fontId="44" fillId="0" borderId="15" xfId="0" applyFont="1" applyFill="1" applyBorder="1" applyAlignment="1">
      <alignment vertical="center"/>
    </xf>
    <xf numFmtId="0" fontId="44" fillId="0" borderId="43" xfId="0" applyFont="1" applyFill="1" applyBorder="1" applyAlignment="1">
      <alignment vertical="center"/>
    </xf>
    <xf numFmtId="3" fontId="2" fillId="0" borderId="202" xfId="0" applyNumberFormat="1" applyFont="1" applyFill="1" applyBorder="1" applyAlignment="1">
      <alignment horizontal="right" vertical="center" indent="1"/>
    </xf>
    <xf numFmtId="3" fontId="2" fillId="0" borderId="203" xfId="0" applyNumberFormat="1" applyFont="1" applyFill="1" applyBorder="1" applyAlignment="1">
      <alignment horizontal="right" vertical="center" indent="1"/>
    </xf>
    <xf numFmtId="3" fontId="2" fillId="0" borderId="204" xfId="0" applyNumberFormat="1" applyFont="1" applyFill="1" applyBorder="1" applyAlignment="1">
      <alignment horizontal="right" vertical="center" indent="1"/>
    </xf>
    <xf numFmtId="3" fontId="2" fillId="0" borderId="74" xfId="0" applyNumberFormat="1" applyFont="1" applyFill="1" applyBorder="1" applyAlignment="1">
      <alignment horizontal="right" vertical="center" indent="1"/>
    </xf>
    <xf numFmtId="3" fontId="7" fillId="0" borderId="205" xfId="0" applyNumberFormat="1" applyFont="1" applyFill="1" applyBorder="1" applyAlignment="1">
      <alignment horizontal="right" vertical="center" indent="1"/>
    </xf>
    <xf numFmtId="3" fontId="7" fillId="0" borderId="206" xfId="0" applyNumberFormat="1" applyFont="1" applyFill="1" applyBorder="1" applyAlignment="1">
      <alignment horizontal="right" vertical="center" indent="1"/>
    </xf>
    <xf numFmtId="3" fontId="7" fillId="0" borderId="207" xfId="0" applyNumberFormat="1" applyFont="1" applyFill="1" applyBorder="1" applyAlignment="1">
      <alignment horizontal="right" vertical="center" indent="1"/>
    </xf>
    <xf numFmtId="3" fontId="7" fillId="0" borderId="208" xfId="0" applyNumberFormat="1" applyFont="1" applyFill="1" applyBorder="1" applyAlignment="1">
      <alignment horizontal="right" vertical="center" indent="1"/>
    </xf>
    <xf numFmtId="3" fontId="7" fillId="0" borderId="209" xfId="0" applyNumberFormat="1" applyFont="1" applyFill="1" applyBorder="1" applyAlignment="1">
      <alignment horizontal="right" vertical="center" indent="1"/>
    </xf>
    <xf numFmtId="3" fontId="7" fillId="0" borderId="211" xfId="0" applyNumberFormat="1" applyFont="1" applyFill="1" applyBorder="1" applyAlignment="1">
      <alignment horizontal="right" vertical="center" indent="1"/>
    </xf>
    <xf numFmtId="0" fontId="4" fillId="0" borderId="210" xfId="0" applyFont="1" applyBorder="1" applyAlignment="1">
      <alignment horizontal="center" wrapText="1"/>
    </xf>
    <xf numFmtId="16" fontId="5" fillId="0" borderId="195" xfId="0" applyNumberFormat="1" applyFont="1" applyFill="1" applyBorder="1" applyAlignment="1" applyProtection="1">
      <alignment vertical="center" wrapText="1"/>
    </xf>
    <xf numFmtId="0" fontId="5" fillId="0" borderId="196" xfId="0" applyFont="1" applyFill="1" applyBorder="1" applyAlignment="1" applyProtection="1">
      <alignment vertical="center" wrapText="1"/>
    </xf>
    <xf numFmtId="0" fontId="5" fillId="0" borderId="197" xfId="0" applyFont="1" applyFill="1" applyBorder="1" applyAlignment="1" applyProtection="1">
      <alignment vertical="center" wrapText="1"/>
    </xf>
    <xf numFmtId="0" fontId="30" fillId="11" borderId="82" xfId="0" applyFont="1" applyFill="1" applyBorder="1" applyAlignment="1" applyProtection="1">
      <alignment horizontal="center" vertical="center"/>
    </xf>
    <xf numFmtId="0" fontId="30" fillId="11" borderId="83" xfId="0" applyFont="1" applyFill="1" applyBorder="1" applyAlignment="1" applyProtection="1">
      <alignment horizontal="center" vertical="center"/>
    </xf>
    <xf numFmtId="0" fontId="24" fillId="19" borderId="84" xfId="0" applyFont="1" applyFill="1" applyBorder="1" applyAlignment="1" applyProtection="1">
      <alignment horizontal="left" vertical="center" wrapText="1" indent="1"/>
    </xf>
    <xf numFmtId="0" fontId="24" fillId="19" borderId="85" xfId="0" applyFont="1" applyFill="1" applyBorder="1" applyAlignment="1" applyProtection="1">
      <alignment horizontal="left" vertical="center" wrapText="1" indent="1"/>
    </xf>
    <xf numFmtId="0" fontId="24" fillId="19" borderId="53" xfId="0" applyFont="1" applyFill="1" applyBorder="1" applyAlignment="1" applyProtection="1">
      <alignment horizontal="left" vertical="center" wrapText="1" indent="1"/>
    </xf>
    <xf numFmtId="0" fontId="24" fillId="19" borderId="86" xfId="0" applyFont="1" applyFill="1" applyBorder="1" applyAlignment="1" applyProtection="1">
      <alignment horizontal="left" vertical="center" wrapText="1" indent="1"/>
    </xf>
    <xf numFmtId="0" fontId="83" fillId="0" borderId="0" xfId="0" applyFont="1" applyAlignment="1" applyProtection="1">
      <alignment horizontal="center" vertical="center" wrapText="1"/>
    </xf>
    <xf numFmtId="0" fontId="4" fillId="0" borderId="7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79" xfId="0" applyFont="1" applyBorder="1" applyAlignment="1" applyProtection="1">
      <alignment horizontal="center" vertical="center"/>
    </xf>
    <xf numFmtId="0" fontId="1" fillId="14" borderId="31" xfId="0" applyFont="1" applyFill="1" applyBorder="1" applyAlignment="1" applyProtection="1">
      <alignment horizontal="center" vertical="center"/>
    </xf>
    <xf numFmtId="0" fontId="1" fillId="14" borderId="39" xfId="0" applyFont="1" applyFill="1" applyBorder="1" applyAlignment="1" applyProtection="1">
      <alignment horizontal="center" vertical="center"/>
    </xf>
    <xf numFmtId="0" fontId="1" fillId="14" borderId="80" xfId="0" applyFont="1" applyFill="1" applyBorder="1" applyAlignment="1" applyProtection="1">
      <alignment horizontal="center" vertical="center"/>
    </xf>
    <xf numFmtId="0" fontId="1" fillId="14" borderId="81" xfId="0" applyFont="1" applyFill="1" applyBorder="1" applyAlignment="1" applyProtection="1">
      <alignment horizontal="center" vertical="center"/>
    </xf>
    <xf numFmtId="0" fontId="1" fillId="14" borderId="32" xfId="0" applyFont="1" applyFill="1" applyBorder="1" applyAlignment="1" applyProtection="1">
      <alignment horizontal="left" vertical="center"/>
    </xf>
    <xf numFmtId="0" fontId="1" fillId="14" borderId="47" xfId="0" applyFont="1" applyFill="1" applyBorder="1" applyAlignment="1" applyProtection="1">
      <alignment horizontal="left" vertical="center"/>
    </xf>
    <xf numFmtId="0" fontId="1" fillId="14" borderId="44" xfId="0" applyFont="1" applyFill="1" applyBorder="1" applyAlignment="1" applyProtection="1">
      <alignment horizontal="left" vertical="center"/>
    </xf>
    <xf numFmtId="0" fontId="1" fillId="14" borderId="40" xfId="0" applyFont="1" applyFill="1" applyBorder="1" applyAlignment="1" applyProtection="1">
      <alignment horizontal="left" vertical="center"/>
    </xf>
    <xf numFmtId="0" fontId="79" fillId="46" borderId="190" xfId="0" applyFont="1" applyFill="1" applyBorder="1" applyAlignment="1" applyProtection="1">
      <alignment horizontal="left" vertical="center"/>
    </xf>
    <xf numFmtId="0" fontId="79" fillId="46" borderId="191" xfId="0" applyFont="1" applyFill="1" applyBorder="1" applyAlignment="1" applyProtection="1">
      <alignment horizontal="left" vertical="center"/>
    </xf>
    <xf numFmtId="0" fontId="79" fillId="46" borderId="192" xfId="0" applyFont="1" applyFill="1" applyBorder="1" applyAlignment="1" applyProtection="1">
      <alignment horizontal="left" vertical="center"/>
    </xf>
    <xf numFmtId="0" fontId="79" fillId="44" borderId="178" xfId="0" applyFont="1" applyFill="1" applyBorder="1" applyAlignment="1" applyProtection="1">
      <alignment horizontal="left" vertical="center"/>
    </xf>
    <xf numFmtId="0" fontId="79" fillId="44" borderId="182" xfId="0" applyFont="1" applyFill="1" applyBorder="1" applyAlignment="1" applyProtection="1">
      <alignment horizontal="left" vertical="center"/>
    </xf>
    <xf numFmtId="0" fontId="79" fillId="44" borderId="179" xfId="0" applyFont="1" applyFill="1" applyBorder="1" applyAlignment="1" applyProtection="1">
      <alignment horizontal="left" vertical="center"/>
    </xf>
    <xf numFmtId="0" fontId="79" fillId="44" borderId="184" xfId="0" applyFont="1" applyFill="1" applyBorder="1" applyAlignment="1" applyProtection="1">
      <alignment horizontal="left" vertical="center"/>
    </xf>
    <xf numFmtId="0" fontId="79" fillId="44" borderId="180" xfId="0" applyFont="1" applyFill="1" applyBorder="1" applyAlignment="1" applyProtection="1">
      <alignment horizontal="left" vertical="center"/>
    </xf>
    <xf numFmtId="0" fontId="79" fillId="44" borderId="185" xfId="0" applyFont="1" applyFill="1" applyBorder="1" applyAlignment="1" applyProtection="1">
      <alignment horizontal="left" vertical="center"/>
    </xf>
    <xf numFmtId="0" fontId="98" fillId="45" borderId="0" xfId="0" applyFont="1" applyFill="1" applyBorder="1" applyAlignment="1" applyProtection="1">
      <alignment horizontal="center" vertical="center"/>
    </xf>
    <xf numFmtId="0" fontId="98" fillId="45" borderId="151" xfId="0" applyFont="1" applyFill="1" applyBorder="1" applyAlignment="1" applyProtection="1">
      <alignment horizontal="center" vertical="center"/>
    </xf>
    <xf numFmtId="0" fontId="7" fillId="37" borderId="0" xfId="0" applyFont="1" applyFill="1" applyBorder="1" applyAlignment="1">
      <alignment horizontal="left" vertical="center" wrapText="1"/>
    </xf>
    <xf numFmtId="0" fontId="7" fillId="37" borderId="151" xfId="0" applyFont="1" applyFill="1" applyBorder="1" applyAlignment="1">
      <alignment horizontal="left" vertical="center" wrapText="1"/>
    </xf>
    <xf numFmtId="0" fontId="86" fillId="29" borderId="193" xfId="0" applyFont="1" applyFill="1" applyBorder="1" applyAlignment="1" applyProtection="1">
      <alignment horizontal="left" vertical="center"/>
    </xf>
    <xf numFmtId="0" fontId="56" fillId="0" borderId="0" xfId="0" applyFont="1" applyAlignment="1">
      <alignment vertical="center" wrapText="1"/>
    </xf>
    <xf numFmtId="0" fontId="29" fillId="0" borderId="0"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vertical="top" wrapText="1"/>
    </xf>
    <xf numFmtId="0" fontId="97" fillId="23" borderId="171" xfId="0" applyFont="1" applyFill="1" applyBorder="1" applyAlignment="1">
      <alignment horizontal="center" vertical="center"/>
    </xf>
    <xf numFmtId="0" fontId="97" fillId="23" borderId="174" xfId="0" applyFont="1" applyFill="1" applyBorder="1" applyAlignment="1">
      <alignment horizontal="center" vertical="center"/>
    </xf>
    <xf numFmtId="0" fontId="97" fillId="23" borderId="176" xfId="0" applyFont="1" applyFill="1" applyBorder="1" applyAlignment="1">
      <alignment horizontal="center" vertical="center"/>
    </xf>
    <xf numFmtId="0" fontId="5" fillId="0" borderId="172" xfId="0" applyFont="1" applyBorder="1" applyAlignment="1">
      <alignment vertical="center" wrapText="1"/>
    </xf>
    <xf numFmtId="0" fontId="5" fillId="0" borderId="173" xfId="0" applyFont="1" applyBorder="1" applyAlignment="1">
      <alignment vertical="center" wrapText="1"/>
    </xf>
    <xf numFmtId="0" fontId="5" fillId="0" borderId="0" xfId="0" applyFont="1" applyBorder="1" applyAlignment="1">
      <alignment vertical="center" wrapText="1"/>
    </xf>
    <xf numFmtId="0" fontId="5" fillId="0" borderId="175" xfId="0" applyFont="1" applyBorder="1" applyAlignment="1">
      <alignment vertical="center" wrapText="1"/>
    </xf>
    <xf numFmtId="0" fontId="5" fillId="0" borderId="159" xfId="0" applyFont="1" applyBorder="1" applyAlignment="1">
      <alignment vertical="center" wrapText="1"/>
    </xf>
    <xf numFmtId="0" fontId="5" fillId="0" borderId="177" xfId="0" applyFont="1" applyBorder="1" applyAlignment="1">
      <alignment vertical="center" wrapText="1"/>
    </xf>
    <xf numFmtId="0" fontId="45" fillId="0" borderId="0" xfId="0" applyFont="1" applyAlignment="1" applyProtection="1">
      <alignment horizontal="center"/>
    </xf>
    <xf numFmtId="0" fontId="5" fillId="0" borderId="0" xfId="0" applyFont="1" applyAlignment="1" applyProtection="1">
      <alignment horizontal="left" wrapText="1"/>
    </xf>
    <xf numFmtId="0" fontId="5" fillId="0" borderId="116" xfId="0" applyFont="1" applyBorder="1" applyAlignment="1" applyProtection="1">
      <alignment horizontal="left" wrapText="1"/>
    </xf>
    <xf numFmtId="0" fontId="57" fillId="0" borderId="132" xfId="0" applyFont="1" applyBorder="1" applyAlignment="1" applyProtection="1">
      <alignment horizontal="center"/>
    </xf>
    <xf numFmtId="0" fontId="5" fillId="0" borderId="102" xfId="0" applyFont="1" applyBorder="1" applyAlignment="1">
      <alignment horizontal="center" vertical="center" wrapText="1"/>
    </xf>
    <xf numFmtId="0" fontId="5" fillId="0" borderId="48"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94" xfId="0" applyFont="1" applyBorder="1" applyAlignment="1">
      <alignment horizontal="center" vertical="center" wrapText="1"/>
    </xf>
    <xf numFmtId="0" fontId="27" fillId="0" borderId="90"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37" fillId="0" borderId="90" xfId="0" applyFont="1" applyBorder="1" applyAlignment="1">
      <alignment horizontal="center" vertical="center" wrapText="1"/>
    </xf>
    <xf numFmtId="0" fontId="37" fillId="0" borderId="94" xfId="0" applyFont="1" applyBorder="1" applyAlignment="1">
      <alignment horizontal="center" vertical="center" wrapText="1"/>
    </xf>
    <xf numFmtId="0" fontId="38" fillId="0" borderId="100" xfId="0" applyFont="1" applyBorder="1" applyAlignment="1">
      <alignment horizontal="center"/>
    </xf>
    <xf numFmtId="0" fontId="38" fillId="0" borderId="101" xfId="0" applyFont="1" applyBorder="1" applyAlignment="1">
      <alignment horizontal="center"/>
    </xf>
    <xf numFmtId="3" fontId="5" fillId="0" borderId="98" xfId="0" applyNumberFormat="1" applyFont="1" applyBorder="1" applyAlignment="1">
      <alignment horizontal="right" indent="1"/>
    </xf>
    <xf numFmtId="3" fontId="5" fillId="0" borderId="99" xfId="0" applyNumberFormat="1" applyFont="1" applyBorder="1" applyAlignment="1">
      <alignment horizontal="right" indent="1"/>
    </xf>
    <xf numFmtId="0" fontId="9" fillId="0" borderId="97" xfId="0" applyFont="1" applyBorder="1"/>
    <xf numFmtId="0" fontId="9" fillId="0" borderId="0" xfId="0" applyFont="1"/>
    <xf numFmtId="3" fontId="5" fillId="0" borderId="88" xfId="0" applyNumberFormat="1" applyFont="1" applyBorder="1" applyAlignment="1">
      <alignment horizontal="right" indent="1"/>
    </xf>
    <xf numFmtId="3" fontId="5" fillId="0" borderId="89" xfId="0" applyNumberFormat="1" applyFont="1" applyBorder="1" applyAlignment="1">
      <alignment horizontal="right" indent="1"/>
    </xf>
    <xf numFmtId="3" fontId="5" fillId="0" borderId="95" xfId="0" applyNumberFormat="1" applyFont="1" applyBorder="1" applyAlignment="1">
      <alignment horizontal="right" indent="1"/>
    </xf>
    <xf numFmtId="3" fontId="5" fillId="0" borderId="96" xfId="0" applyNumberFormat="1" applyFont="1" applyBorder="1" applyAlignment="1">
      <alignment horizontal="right" indent="1"/>
    </xf>
    <xf numFmtId="0" fontId="22" fillId="0" borderId="97" xfId="0" applyFont="1" applyBorder="1"/>
    <xf numFmtId="0" fontId="22" fillId="0" borderId="0" xfId="0" applyFont="1"/>
    <xf numFmtId="0" fontId="5" fillId="0" borderId="0" xfId="0" applyFont="1" applyBorder="1" applyAlignment="1" applyProtection="1">
      <alignment horizontal="left" wrapText="1"/>
    </xf>
    <xf numFmtId="0" fontId="1" fillId="5" borderId="72" xfId="0" applyNumberFormat="1" applyFont="1" applyFill="1" applyBorder="1" applyAlignment="1" applyProtection="1">
      <alignment horizontal="center" vertical="center"/>
      <protection locked="0"/>
    </xf>
    <xf numFmtId="164" fontId="8" fillId="5" borderId="87" xfId="0" applyNumberFormat="1" applyFont="1" applyFill="1" applyBorder="1" applyAlignment="1" applyProtection="1">
      <alignment horizontal="center" vertical="center"/>
      <protection locked="0"/>
    </xf>
    <xf numFmtId="164" fontId="8" fillId="5" borderId="49" xfId="0" applyNumberFormat="1" applyFont="1" applyFill="1" applyBorder="1" applyAlignment="1" applyProtection="1">
      <alignment horizontal="center" vertical="center"/>
      <protection locked="0"/>
    </xf>
    <xf numFmtId="164" fontId="7" fillId="5" borderId="72" xfId="0" applyNumberFormat="1" applyFont="1" applyFill="1" applyBorder="1" applyAlignment="1" applyProtection="1">
      <alignment horizontal="center"/>
      <protection locked="0"/>
    </xf>
    <xf numFmtId="0" fontId="71" fillId="0" borderId="125" xfId="0" applyFont="1" applyBorder="1" applyAlignment="1" applyProtection="1">
      <alignment horizontal="center"/>
    </xf>
    <xf numFmtId="164" fontId="2" fillId="0" borderId="91" xfId="0" applyNumberFormat="1" applyFont="1" applyFill="1" applyBorder="1" applyAlignment="1" applyProtection="1">
      <alignment horizontal="center" vertical="center"/>
    </xf>
    <xf numFmtId="164" fontId="2" fillId="0" borderId="73" xfId="0" applyNumberFormat="1" applyFont="1" applyFill="1" applyBorder="1" applyAlignment="1" applyProtection="1">
      <alignment horizontal="center" vertical="center"/>
    </xf>
    <xf numFmtId="0" fontId="1" fillId="5" borderId="87" xfId="0" applyFont="1" applyFill="1" applyBorder="1" applyAlignment="1" applyProtection="1">
      <alignment horizontal="center" vertical="center"/>
      <protection locked="0"/>
    </xf>
    <xf numFmtId="0" fontId="1" fillId="5" borderId="72" xfId="0" applyFont="1" applyFill="1" applyBorder="1" applyAlignment="1" applyProtection="1">
      <alignment horizontal="center" vertical="center"/>
      <protection locked="0"/>
    </xf>
    <xf numFmtId="0" fontId="1" fillId="5" borderId="49" xfId="0" applyFont="1" applyFill="1" applyBorder="1" applyAlignment="1" applyProtection="1">
      <alignment horizontal="center" vertical="center"/>
      <protection locked="0"/>
    </xf>
    <xf numFmtId="0" fontId="2" fillId="0" borderId="0" xfId="0" applyFont="1" applyAlignment="1">
      <alignment horizontal="left" vertical="center" wrapText="1" indent="1"/>
    </xf>
    <xf numFmtId="0" fontId="1" fillId="5" borderId="50" xfId="0" applyFont="1" applyFill="1" applyBorder="1" applyAlignment="1" applyProtection="1">
      <alignment horizontal="center" vertical="center"/>
      <protection locked="0"/>
    </xf>
    <xf numFmtId="0" fontId="1" fillId="5" borderId="91" xfId="0" applyNumberFormat="1" applyFont="1" applyFill="1" applyBorder="1" applyAlignment="1" applyProtection="1">
      <alignment horizontal="center" vertical="center"/>
      <protection locked="0"/>
    </xf>
    <xf numFmtId="0" fontId="1" fillId="5" borderId="73" xfId="0" applyNumberFormat="1" applyFont="1" applyFill="1" applyBorder="1" applyAlignment="1" applyProtection="1">
      <alignment horizontal="center" vertical="center"/>
      <protection locked="0"/>
    </xf>
    <xf numFmtId="0" fontId="85" fillId="0" borderId="0" xfId="0" applyFont="1" applyAlignment="1">
      <alignment horizontal="center" vertical="center" wrapText="1"/>
    </xf>
    <xf numFmtId="170" fontId="1" fillId="5" borderId="72" xfId="0" applyNumberFormat="1" applyFont="1" applyFill="1" applyBorder="1" applyAlignment="1" applyProtection="1">
      <alignment horizontal="center"/>
      <protection locked="0"/>
    </xf>
    <xf numFmtId="170" fontId="1" fillId="5" borderId="49" xfId="0" applyNumberFormat="1" applyFont="1" applyFill="1" applyBorder="1" applyAlignment="1" applyProtection="1">
      <alignment horizontal="center"/>
      <protection locked="0"/>
    </xf>
    <xf numFmtId="0" fontId="5" fillId="0" borderId="0" xfId="0" applyFont="1" applyAlignment="1">
      <alignment horizontal="center"/>
    </xf>
    <xf numFmtId="0" fontId="1" fillId="5" borderId="50" xfId="0" applyNumberFormat="1" applyFont="1" applyFill="1" applyBorder="1" applyAlignment="1" applyProtection="1">
      <alignment horizontal="center" vertical="center"/>
      <protection locked="0"/>
    </xf>
    <xf numFmtId="0" fontId="1" fillId="5" borderId="87" xfId="0" applyNumberFormat="1" applyFont="1" applyFill="1" applyBorder="1" applyAlignment="1" applyProtection="1">
      <alignment horizontal="center" vertical="center"/>
      <protection locked="0"/>
    </xf>
    <xf numFmtId="0" fontId="25" fillId="3" borderId="77" xfId="0" applyFont="1" applyFill="1" applyBorder="1" applyAlignment="1">
      <alignment horizontal="center" vertical="center"/>
    </xf>
    <xf numFmtId="0" fontId="25" fillId="3" borderId="103" xfId="0" applyFont="1" applyFill="1" applyBorder="1" applyAlignment="1">
      <alignment horizontal="center" vertical="center"/>
    </xf>
    <xf numFmtId="0" fontId="45" fillId="0" borderId="0" xfId="0" applyFont="1" applyAlignment="1">
      <alignment horizontal="center"/>
    </xf>
    <xf numFmtId="0" fontId="5" fillId="0" borderId="0" xfId="0" applyFont="1" applyAlignment="1">
      <alignment horizontal="left" wrapText="1"/>
    </xf>
    <xf numFmtId="0" fontId="5" fillId="0" borderId="0" xfId="0" applyFont="1" applyBorder="1" applyAlignment="1">
      <alignment horizontal="left" wrapText="1"/>
    </xf>
    <xf numFmtId="0" fontId="71" fillId="0" borderId="125" xfId="0" applyFont="1" applyBorder="1" applyAlignment="1">
      <alignment horizontal="center"/>
    </xf>
    <xf numFmtId="0" fontId="5" fillId="0" borderId="116" xfId="0" applyFont="1" applyBorder="1" applyAlignment="1">
      <alignment horizontal="left" wrapText="1"/>
    </xf>
    <xf numFmtId="0" fontId="57" fillId="0" borderId="132" xfId="0" applyFont="1" applyBorder="1" applyAlignment="1">
      <alignment horizontal="center"/>
    </xf>
    <xf numFmtId="0" fontId="1" fillId="39" borderId="73" xfId="0" applyFont="1" applyFill="1" applyBorder="1" applyAlignment="1" applyProtection="1">
      <alignment horizontal="center"/>
      <protection locked="0"/>
    </xf>
    <xf numFmtId="0" fontId="1" fillId="38" borderId="91" xfId="0" applyNumberFormat="1" applyFont="1" applyFill="1" applyBorder="1" applyAlignment="1" applyProtection="1">
      <alignment horizontal="center" vertical="center"/>
      <protection locked="0"/>
    </xf>
    <xf numFmtId="0" fontId="1" fillId="38" borderId="73" xfId="0" applyNumberFormat="1" applyFont="1" applyFill="1" applyBorder="1" applyAlignment="1" applyProtection="1">
      <alignment horizontal="center" vertical="center"/>
      <protection locked="0"/>
    </xf>
    <xf numFmtId="3" fontId="5" fillId="0" borderId="165" xfId="0" applyNumberFormat="1" applyFont="1" applyBorder="1" applyAlignment="1">
      <alignment horizontal="right" indent="1"/>
    </xf>
    <xf numFmtId="0" fontId="22" fillId="0" borderId="0" xfId="0" applyFont="1" applyBorder="1"/>
    <xf numFmtId="3" fontId="5" fillId="0" borderId="164" xfId="0" applyNumberFormat="1" applyFont="1" applyBorder="1" applyAlignment="1">
      <alignment horizontal="right" indent="1"/>
    </xf>
    <xf numFmtId="0" fontId="1" fillId="42" borderId="87" xfId="0" applyFont="1" applyFill="1" applyBorder="1" applyAlignment="1" applyProtection="1">
      <alignment horizontal="center" vertical="center"/>
      <protection locked="0"/>
    </xf>
    <xf numFmtId="0" fontId="1" fillId="42" borderId="72" xfId="0" applyFont="1" applyFill="1" applyBorder="1" applyAlignment="1" applyProtection="1">
      <alignment horizontal="center" vertical="center"/>
      <protection locked="0"/>
    </xf>
    <xf numFmtId="0" fontId="1" fillId="42" borderId="49" xfId="0" applyFont="1" applyFill="1" applyBorder="1" applyAlignment="1" applyProtection="1">
      <alignment horizontal="center" vertical="center"/>
      <protection locked="0"/>
    </xf>
    <xf numFmtId="0" fontId="1" fillId="42" borderId="72" xfId="0" applyNumberFormat="1" applyFont="1" applyFill="1" applyBorder="1" applyAlignment="1" applyProtection="1">
      <alignment horizontal="center" vertical="center"/>
      <protection locked="0"/>
    </xf>
    <xf numFmtId="164" fontId="8" fillId="42" borderId="87" xfId="0" applyNumberFormat="1" applyFont="1" applyFill="1" applyBorder="1" applyAlignment="1" applyProtection="1">
      <alignment horizontal="center" vertical="center"/>
      <protection locked="0"/>
    </xf>
    <xf numFmtId="164" fontId="8" fillId="42" borderId="72" xfId="0" applyNumberFormat="1" applyFont="1" applyFill="1" applyBorder="1" applyAlignment="1" applyProtection="1">
      <alignment horizontal="center" vertical="center"/>
      <protection locked="0"/>
    </xf>
    <xf numFmtId="164" fontId="7" fillId="42" borderId="72" xfId="0" applyNumberFormat="1" applyFont="1" applyFill="1" applyBorder="1" applyAlignment="1" applyProtection="1">
      <alignment horizontal="center"/>
      <protection locked="0"/>
    </xf>
    <xf numFmtId="164" fontId="7" fillId="0" borderId="91" xfId="0" applyNumberFormat="1" applyFont="1" applyFill="1" applyBorder="1" applyAlignment="1" applyProtection="1">
      <alignment horizontal="center" vertical="center"/>
    </xf>
    <xf numFmtId="164" fontId="7" fillId="0" borderId="73" xfId="0" applyNumberFormat="1" applyFont="1" applyFill="1" applyBorder="1" applyAlignment="1" applyProtection="1">
      <alignment horizontal="center" vertical="center"/>
    </xf>
    <xf numFmtId="0" fontId="2" fillId="0" borderId="90" xfId="0" applyFont="1" applyBorder="1" applyAlignment="1">
      <alignment horizontal="center" vertical="center" wrapText="1"/>
    </xf>
    <xf numFmtId="0" fontId="2" fillId="0" borderId="94" xfId="0" applyFont="1" applyBorder="1" applyAlignment="1">
      <alignment horizontal="center" vertical="center" wrapText="1"/>
    </xf>
    <xf numFmtId="3" fontId="5" fillId="0" borderId="163" xfId="0" applyNumberFormat="1" applyFont="1" applyBorder="1" applyAlignment="1">
      <alignment horizontal="right" indent="1"/>
    </xf>
    <xf numFmtId="0" fontId="9" fillId="0" borderId="0" xfId="0" applyFont="1" applyBorder="1"/>
    <xf numFmtId="0" fontId="1" fillId="43" borderId="73" xfId="0" applyFont="1" applyFill="1" applyBorder="1" applyAlignment="1" applyProtection="1">
      <alignment horizontal="center" vertical="center"/>
      <protection locked="0"/>
    </xf>
    <xf numFmtId="0" fontId="1" fillId="43" borderId="166" xfId="0" applyFont="1" applyFill="1" applyBorder="1" applyAlignment="1" applyProtection="1">
      <alignment horizontal="center" vertical="center"/>
      <protection locked="0"/>
    </xf>
    <xf numFmtId="0" fontId="1" fillId="43" borderId="162" xfId="0" applyFont="1" applyFill="1" applyBorder="1" applyAlignment="1" applyProtection="1">
      <alignment horizontal="center" vertical="center"/>
      <protection locked="0"/>
    </xf>
    <xf numFmtId="0" fontId="1" fillId="43" borderId="167" xfId="0" applyFont="1" applyFill="1" applyBorder="1" applyAlignment="1" applyProtection="1">
      <alignment horizontal="center" vertical="center"/>
      <protection locked="0"/>
    </xf>
    <xf numFmtId="0" fontId="2" fillId="0" borderId="0" xfId="0" applyFont="1" applyAlignment="1">
      <alignment horizontal="left" vertical="top" wrapText="1" indent="1"/>
    </xf>
    <xf numFmtId="0" fontId="1" fillId="42" borderId="91" xfId="0" applyNumberFormat="1" applyFont="1" applyFill="1" applyBorder="1" applyAlignment="1" applyProtection="1">
      <alignment horizontal="center" vertical="center"/>
      <protection locked="0"/>
    </xf>
    <xf numFmtId="0" fontId="1" fillId="42" borderId="73" xfId="0" applyNumberFormat="1" applyFont="1" applyFill="1" applyBorder="1" applyAlignment="1" applyProtection="1">
      <alignment horizontal="center" vertical="center"/>
      <protection locked="0"/>
    </xf>
    <xf numFmtId="170" fontId="1" fillId="42" borderId="72" xfId="0" applyNumberFormat="1" applyFont="1" applyFill="1" applyBorder="1" applyAlignment="1" applyProtection="1">
      <alignment horizontal="center"/>
      <protection locked="0"/>
    </xf>
    <xf numFmtId="170" fontId="1" fillId="42" borderId="49" xfId="0" applyNumberFormat="1" applyFont="1" applyFill="1" applyBorder="1" applyAlignment="1" applyProtection="1">
      <alignment horizontal="center"/>
      <protection locked="0"/>
    </xf>
    <xf numFmtId="0" fontId="1" fillId="42" borderId="87" xfId="0" applyNumberFormat="1" applyFont="1" applyFill="1" applyBorder="1" applyAlignment="1" applyProtection="1">
      <alignment horizontal="center" vertical="center"/>
      <protection locked="0"/>
    </xf>
    <xf numFmtId="0" fontId="1" fillId="42" borderId="49" xfId="0" applyNumberFormat="1" applyFont="1" applyFill="1" applyBorder="1" applyAlignment="1" applyProtection="1">
      <alignment horizontal="center" vertical="center"/>
      <protection locked="0"/>
    </xf>
  </cellXfs>
  <cellStyles count="1">
    <cellStyle name="Normal" xfId="0" builtinId="0"/>
  </cellStyles>
  <dxfs count="1285">
    <dxf>
      <fill>
        <patternFill>
          <bgColor theme="6" tint="0.79998168889431442"/>
        </patternFill>
      </fill>
      <border>
        <top style="thin">
          <color theme="0" tint="-0.24994659260841701"/>
        </top>
        <bottom style="thin">
          <color theme="0" tint="-0.24994659260841701"/>
        </bottom>
      </border>
    </dxf>
    <dxf>
      <fill>
        <patternFill>
          <bgColor theme="6" tint="0.79998168889431442"/>
        </patternFill>
      </fill>
      <border>
        <top style="thin">
          <color theme="0" tint="-0.24994659260841701"/>
        </top>
        <bottom style="thin">
          <color theme="0" tint="-0.24994659260841701"/>
        </bottom>
      </border>
    </dxf>
    <dxf>
      <fill>
        <patternFill>
          <bgColor theme="6" tint="0.79998168889431442"/>
        </patternFill>
      </fill>
      <border>
        <top style="thin">
          <color theme="0" tint="-0.24994659260841701"/>
        </top>
        <bottom style="thin">
          <color theme="0" tint="-0.24994659260841701"/>
        </bottom>
      </border>
    </dxf>
    <dxf>
      <fill>
        <patternFill>
          <bgColor theme="6" tint="0.79998168889431442"/>
        </patternFill>
      </fill>
      <border>
        <top style="thin">
          <color theme="0" tint="-0.24994659260841701"/>
        </top>
        <bottom style="thin">
          <color theme="0" tint="-0.24994659260841701"/>
        </bottom>
      </border>
    </dxf>
    <dxf>
      <fill>
        <patternFill>
          <bgColor theme="6" tint="0.79998168889431442"/>
        </patternFill>
      </fill>
      <border>
        <top style="thin">
          <color theme="0" tint="-0.24994659260841701"/>
        </top>
        <bottom style="thin">
          <color theme="0" tint="-0.24994659260841701"/>
        </bottom>
      </border>
    </dxf>
    <dxf>
      <fill>
        <patternFill>
          <bgColor theme="6" tint="0.79998168889431442"/>
        </patternFill>
      </fill>
      <border>
        <top style="thin">
          <color theme="0" tint="-0.24994659260841701"/>
        </top>
        <bottom style="thin">
          <color theme="0" tint="-0.24994659260841701"/>
        </bottom>
      </border>
    </dxf>
    <dxf>
      <fill>
        <patternFill>
          <bgColor theme="6" tint="0.79998168889431442"/>
        </patternFill>
      </fill>
      <border>
        <top style="thin">
          <color theme="0" tint="-0.24994659260841701"/>
        </top>
        <bottom style="thin">
          <color theme="0" tint="-0.24994659260841701"/>
        </bottom>
      </border>
    </dxf>
    <dxf>
      <fill>
        <patternFill>
          <bgColor rgb="FF99CC00"/>
        </patternFill>
      </fill>
    </dxf>
    <dxf>
      <font>
        <color theme="0"/>
      </font>
    </dxf>
    <dxf>
      <font>
        <color theme="0"/>
      </font>
    </dxf>
    <dxf>
      <font>
        <color theme="0"/>
      </font>
    </dxf>
    <dxf>
      <font>
        <color theme="0"/>
      </font>
    </dxf>
    <dxf>
      <fill>
        <patternFill patternType="lightUp">
          <fgColor indexed="22"/>
          <bgColor indexed="9"/>
        </patternFill>
      </fill>
    </dxf>
    <dxf>
      <fill>
        <patternFill patternType="lightUp">
          <fgColor indexed="22"/>
        </patternFill>
      </fill>
    </dxf>
    <dxf>
      <fill>
        <patternFill patternType="lightUp">
          <fgColor indexed="22"/>
        </patternFill>
      </fill>
    </dxf>
    <dxf>
      <fill>
        <patternFill patternType="lightUp">
          <fgColor indexed="22"/>
        </patternFill>
      </fill>
    </dxf>
    <dxf>
      <fill>
        <patternFill>
          <bgColor rgb="FF99FF99"/>
        </patternFill>
      </fill>
      <border>
        <left style="hair">
          <color theme="1" tint="0.34998626667073579"/>
        </left>
        <right style="hair">
          <color theme="1" tint="0.34998626667073579"/>
        </right>
        <top style="hair">
          <color theme="1" tint="0.34998626667073579"/>
        </top>
        <bottom style="hair">
          <color theme="1" tint="0.34998626667073579"/>
        </bottom>
        <vertical/>
        <horizontal/>
      </border>
    </dxf>
    <dxf>
      <font>
        <color theme="0"/>
      </font>
    </dxf>
    <dxf>
      <font>
        <color theme="0"/>
      </font>
    </dxf>
    <dxf>
      <font>
        <color theme="0"/>
      </font>
    </dxf>
    <dxf>
      <font>
        <color theme="0"/>
      </font>
    </dxf>
    <dxf>
      <font>
        <b/>
        <i val="0"/>
        <condense val="0"/>
        <extend val="0"/>
        <color indexed="10"/>
      </font>
    </dxf>
    <dxf>
      <fill>
        <patternFill patternType="none">
          <bgColor indexed="65"/>
        </patternFill>
      </fill>
    </dxf>
    <dxf>
      <font>
        <b/>
        <i val="0"/>
        <condense val="0"/>
        <extend val="0"/>
        <color indexed="10"/>
      </font>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ont>
        <b/>
        <i val="0"/>
        <condense val="0"/>
        <extend val="0"/>
        <color indexed="9"/>
      </font>
      <fill>
        <patternFill patternType="solid">
          <bgColor indexed="10"/>
        </patternFill>
      </fill>
    </dxf>
    <dxf>
      <font>
        <b/>
        <i val="0"/>
        <condense val="0"/>
        <extend val="0"/>
        <color indexed="10"/>
      </font>
    </dxf>
    <dxf>
      <font>
        <b/>
        <i val="0"/>
        <condense val="0"/>
        <extend val="0"/>
        <color indexed="10"/>
      </font>
    </dxf>
    <dxf>
      <font>
        <b/>
        <i val="0"/>
        <condense val="0"/>
        <extend val="0"/>
        <color indexed="10"/>
      </font>
      <border>
        <left/>
        <right/>
        <top/>
        <bottom/>
      </border>
    </dxf>
    <dxf>
      <font>
        <condense val="0"/>
        <extend val="0"/>
        <color indexed="63"/>
      </font>
      <fill>
        <patternFill patternType="solid">
          <fgColor indexed="13"/>
          <bgColor indexed="51"/>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ndense val="0"/>
        <extend val="0"/>
        <color indexed="9"/>
      </font>
      <fill>
        <patternFill patternType="solid">
          <bgColor indexed="10"/>
        </patternFill>
      </fill>
    </dxf>
    <dxf>
      <fill>
        <patternFill patternType="solid">
          <bgColor indexed="13"/>
        </patternFill>
      </fill>
    </dxf>
    <dxf>
      <fill>
        <patternFill>
          <bgColor indexed="13"/>
        </patternFill>
      </fill>
    </dxf>
    <dxf>
      <fill>
        <patternFill patternType="none">
          <bgColor indexed="65"/>
        </patternFill>
      </fill>
      <border>
        <left style="thin">
          <color indexed="53"/>
        </left>
        <right style="thin">
          <color indexed="53"/>
        </right>
        <top style="thin">
          <color indexed="53"/>
        </top>
        <bottom style="thin">
          <color indexed="53"/>
        </bottom>
      </border>
    </dxf>
    <dxf>
      <font>
        <condense val="0"/>
        <extend val="0"/>
        <color indexed="63"/>
      </font>
      <fill>
        <patternFill patternType="solid">
          <fgColor indexed="13"/>
          <bgColor indexed="51"/>
        </patternFill>
      </fill>
    </dxf>
    <dxf>
      <font>
        <condense val="0"/>
        <extend val="0"/>
        <color indexed="63"/>
      </font>
      <fill>
        <patternFill patternType="solid">
          <fgColor indexed="13"/>
          <bgColor indexed="51"/>
        </patternFill>
      </fill>
    </dxf>
    <dxf>
      <font>
        <condense val="0"/>
        <extend val="0"/>
        <color indexed="63"/>
      </font>
      <fill>
        <patternFill patternType="solid">
          <fgColor indexed="13"/>
          <bgColor indexed="51"/>
        </patternFill>
      </fill>
    </dxf>
    <dxf>
      <fill>
        <patternFill patternType="lightUp">
          <fgColor indexed="22"/>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ill>
        <patternFill>
          <bgColor indexed="51"/>
        </patternFill>
      </fill>
    </dxf>
    <dxf>
      <font>
        <b/>
        <i val="0"/>
        <condense val="0"/>
        <extend val="0"/>
        <color indexed="8"/>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fill>
        <patternFill patternType="solid">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ill>
        <patternFill patternType="lightUp">
          <fgColor indexed="22"/>
        </patternFill>
      </fill>
    </dxf>
    <dxf>
      <font>
        <b/>
        <i val="0"/>
        <condense val="0"/>
        <extend val="0"/>
        <color indexed="9"/>
      </font>
      <fill>
        <patternFill patternType="solid">
          <bgColor indexed="1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lightUp">
          <fgColor indexed="22"/>
          <bgColor indexed="9"/>
        </patternFill>
      </fill>
    </dxf>
    <dxf>
      <fill>
        <patternFill patternType="lightUp">
          <fgColor indexed="22"/>
          <bgColor indexed="9"/>
        </patternFill>
      </fill>
    </dxf>
    <dxf>
      <fill>
        <patternFill patternType="lightUp">
          <fgColor indexed="22"/>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ndense val="0"/>
        <extend val="0"/>
        <color indexed="9"/>
      </font>
      <fill>
        <patternFill>
          <bgColor indexed="10"/>
        </patternFill>
      </fill>
    </dxf>
    <dxf>
      <fill>
        <patternFill>
          <bgColor indexed="51"/>
        </patternFill>
      </fill>
    </dxf>
    <dxf>
      <font>
        <condense val="0"/>
        <extend val="0"/>
        <color indexed="9"/>
      </font>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10"/>
      </font>
    </dxf>
    <dxf>
      <font>
        <b/>
        <i val="0"/>
        <condense val="0"/>
        <extend val="0"/>
        <color indexed="10"/>
      </font>
    </dxf>
    <dxf>
      <font>
        <condense val="0"/>
        <extend val="0"/>
        <color indexed="22"/>
      </font>
    </dxf>
    <dxf>
      <font>
        <condense val="0"/>
        <extend val="0"/>
        <color indexed="22"/>
      </font>
    </dxf>
    <dxf>
      <fill>
        <patternFill>
          <bgColor rgb="FF99CC00"/>
        </patternFill>
      </fill>
    </dxf>
    <dxf>
      <fill>
        <patternFill>
          <bgColor theme="6" tint="0.79998168889431442"/>
        </patternFill>
      </fill>
      <border>
        <top style="thin">
          <color theme="0" tint="-0.24994659260841701"/>
        </top>
        <bottom style="thin">
          <color theme="0" tint="-0.24994659260841701"/>
        </bottom>
      </border>
    </dxf>
    <dxf>
      <fill>
        <patternFill>
          <bgColor theme="6" tint="0.79998168889431442"/>
        </patternFill>
      </fill>
      <border>
        <top style="thin">
          <color theme="0" tint="-0.24994659260841701"/>
        </top>
        <bottom style="thin">
          <color theme="0" tint="-0.24994659260841701"/>
        </bottom>
      </border>
    </dxf>
    <dxf>
      <fill>
        <patternFill>
          <bgColor theme="6" tint="0.79998168889431442"/>
        </patternFill>
      </fill>
      <border>
        <top style="thin">
          <color theme="0" tint="-0.24994659260841701"/>
        </top>
        <bottom style="thin">
          <color theme="0" tint="-0.24994659260841701"/>
        </bottom>
      </border>
    </dxf>
    <dxf>
      <fill>
        <patternFill>
          <bgColor theme="6" tint="0.79998168889431442"/>
        </patternFill>
      </fill>
      <border>
        <top style="thin">
          <color theme="0" tint="-0.24994659260841701"/>
        </top>
        <bottom style="thin">
          <color theme="0" tint="-0.24994659260841701"/>
        </bottom>
      </border>
    </dxf>
    <dxf>
      <fill>
        <patternFill>
          <bgColor theme="6" tint="0.79998168889431442"/>
        </patternFill>
      </fill>
      <border>
        <top style="thin">
          <color theme="0" tint="-0.24994659260841701"/>
        </top>
        <bottom style="thin">
          <color theme="0" tint="-0.24994659260841701"/>
        </bottom>
      </border>
    </dxf>
    <dxf>
      <fill>
        <patternFill>
          <bgColor theme="6" tint="0.79998168889431442"/>
        </patternFill>
      </fill>
      <border>
        <top style="thin">
          <color theme="0" tint="-0.24994659260841701"/>
        </top>
        <bottom style="thin">
          <color theme="0" tint="-0.24994659260841701"/>
        </bottom>
      </border>
    </dxf>
    <dxf>
      <font>
        <color theme="0"/>
      </font>
    </dxf>
    <dxf>
      <font>
        <color theme="0"/>
      </font>
    </dxf>
    <dxf>
      <font>
        <color theme="0"/>
      </font>
    </dxf>
    <dxf>
      <font>
        <color theme="0"/>
      </font>
    </dxf>
    <dxf>
      <fill>
        <patternFill patternType="solid">
          <bgColor theme="6" tint="0.79998168889431442"/>
        </patternFill>
      </fill>
      <border>
        <left/>
        <right/>
        <top style="thin">
          <color theme="0" tint="-0.24994659260841701"/>
        </top>
        <bottom style="thin">
          <color theme="0" tint="-0.24994659260841701"/>
        </bottom>
      </border>
    </dxf>
    <dxf>
      <fill>
        <patternFill patternType="lightUp">
          <fgColor indexed="22"/>
          <bgColor indexed="9"/>
        </patternFill>
      </fill>
    </dxf>
    <dxf>
      <fill>
        <patternFill patternType="lightUp">
          <fgColor indexed="22"/>
        </patternFill>
      </fill>
    </dxf>
    <dxf>
      <fill>
        <patternFill patternType="lightUp">
          <fgColor indexed="22"/>
        </patternFill>
      </fill>
    </dxf>
    <dxf>
      <fill>
        <patternFill patternType="lightUp">
          <fgColor indexed="22"/>
        </patternFill>
      </fill>
    </dxf>
    <dxf>
      <fill>
        <patternFill>
          <bgColor rgb="FF99FF99"/>
        </patternFill>
      </fill>
      <border>
        <left style="hair">
          <color theme="1" tint="0.34998626667073579"/>
        </left>
        <right style="hair">
          <color theme="1" tint="0.34998626667073579"/>
        </right>
        <top style="hair">
          <color theme="1" tint="0.34998626667073579"/>
        </top>
        <bottom style="hair">
          <color theme="1" tint="0.34998626667073579"/>
        </bottom>
        <vertical/>
        <horizontal/>
      </border>
    </dxf>
    <dxf>
      <font>
        <color theme="0"/>
      </font>
    </dxf>
    <dxf>
      <font>
        <color theme="0"/>
      </font>
    </dxf>
    <dxf>
      <font>
        <color theme="0"/>
      </font>
    </dxf>
    <dxf>
      <font>
        <color theme="0"/>
      </font>
    </dxf>
    <dxf>
      <font>
        <b/>
        <i val="0"/>
        <condense val="0"/>
        <extend val="0"/>
        <color indexed="10"/>
      </font>
    </dxf>
    <dxf>
      <fill>
        <patternFill patternType="none">
          <bgColor indexed="65"/>
        </patternFill>
      </fill>
    </dxf>
    <dxf>
      <font>
        <b/>
        <i val="0"/>
        <condense val="0"/>
        <extend val="0"/>
        <color indexed="10"/>
      </font>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ont>
        <b/>
        <i val="0"/>
        <condense val="0"/>
        <extend val="0"/>
        <color indexed="9"/>
      </font>
      <fill>
        <patternFill patternType="solid">
          <bgColor indexed="10"/>
        </patternFill>
      </fill>
    </dxf>
    <dxf>
      <font>
        <b/>
        <i val="0"/>
        <condense val="0"/>
        <extend val="0"/>
        <color indexed="10"/>
      </font>
    </dxf>
    <dxf>
      <font>
        <b/>
        <i val="0"/>
        <condense val="0"/>
        <extend val="0"/>
        <color indexed="10"/>
      </font>
    </dxf>
    <dxf>
      <font>
        <b/>
        <i val="0"/>
        <condense val="0"/>
        <extend val="0"/>
        <color indexed="10"/>
      </font>
      <border>
        <left/>
        <right/>
        <top/>
        <bottom/>
      </border>
    </dxf>
    <dxf>
      <font>
        <condense val="0"/>
        <extend val="0"/>
        <color indexed="63"/>
      </font>
      <fill>
        <patternFill patternType="solid">
          <fgColor indexed="13"/>
          <bgColor indexed="51"/>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ndense val="0"/>
        <extend val="0"/>
        <color indexed="9"/>
      </font>
      <fill>
        <patternFill patternType="solid">
          <bgColor indexed="10"/>
        </patternFill>
      </fill>
    </dxf>
    <dxf>
      <fill>
        <patternFill patternType="solid">
          <bgColor indexed="13"/>
        </patternFill>
      </fill>
    </dxf>
    <dxf>
      <fill>
        <patternFill>
          <bgColor indexed="13"/>
        </patternFill>
      </fill>
    </dxf>
    <dxf>
      <fill>
        <patternFill patternType="none">
          <bgColor indexed="65"/>
        </patternFill>
      </fill>
      <border>
        <left style="thin">
          <color indexed="53"/>
        </left>
        <right style="thin">
          <color indexed="53"/>
        </right>
        <top style="thin">
          <color indexed="53"/>
        </top>
        <bottom style="thin">
          <color indexed="53"/>
        </bottom>
      </border>
    </dxf>
    <dxf>
      <font>
        <condense val="0"/>
        <extend val="0"/>
        <color indexed="63"/>
      </font>
      <fill>
        <patternFill patternType="solid">
          <fgColor indexed="13"/>
          <bgColor indexed="51"/>
        </patternFill>
      </fill>
    </dxf>
    <dxf>
      <font>
        <condense val="0"/>
        <extend val="0"/>
        <color indexed="63"/>
      </font>
      <fill>
        <patternFill patternType="solid">
          <fgColor indexed="13"/>
          <bgColor indexed="51"/>
        </patternFill>
      </fill>
    </dxf>
    <dxf>
      <font>
        <condense val="0"/>
        <extend val="0"/>
        <color indexed="63"/>
      </font>
      <fill>
        <patternFill patternType="solid">
          <fgColor indexed="13"/>
          <bgColor indexed="51"/>
        </patternFill>
      </fill>
    </dxf>
    <dxf>
      <fill>
        <patternFill patternType="lightUp">
          <fgColor indexed="22"/>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ill>
        <patternFill>
          <bgColor indexed="51"/>
        </patternFill>
      </fill>
    </dxf>
    <dxf>
      <font>
        <b/>
        <i val="0"/>
        <condense val="0"/>
        <extend val="0"/>
        <color indexed="8"/>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fill>
        <patternFill patternType="solid">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ill>
        <patternFill patternType="lightUp">
          <fgColor indexed="22"/>
        </patternFill>
      </fill>
    </dxf>
    <dxf>
      <font>
        <b/>
        <i val="0"/>
        <condense val="0"/>
        <extend val="0"/>
        <color indexed="9"/>
      </font>
      <fill>
        <patternFill patternType="solid">
          <bgColor indexed="1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lightUp">
          <fgColor indexed="22"/>
          <bgColor indexed="9"/>
        </patternFill>
      </fill>
    </dxf>
    <dxf>
      <fill>
        <patternFill patternType="lightUp">
          <fgColor indexed="22"/>
          <bgColor indexed="9"/>
        </patternFill>
      </fill>
    </dxf>
    <dxf>
      <fill>
        <patternFill patternType="lightUp">
          <fgColor indexed="22"/>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ndense val="0"/>
        <extend val="0"/>
        <color indexed="9"/>
      </font>
      <fill>
        <patternFill>
          <bgColor indexed="10"/>
        </patternFill>
      </fill>
    </dxf>
    <dxf>
      <fill>
        <patternFill>
          <bgColor indexed="51"/>
        </patternFill>
      </fill>
    </dxf>
    <dxf>
      <font>
        <condense val="0"/>
        <extend val="0"/>
        <color indexed="9"/>
      </font>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10"/>
      </font>
    </dxf>
    <dxf>
      <font>
        <b/>
        <i val="0"/>
        <condense val="0"/>
        <extend val="0"/>
        <color indexed="10"/>
      </font>
    </dxf>
    <dxf>
      <font>
        <condense val="0"/>
        <extend val="0"/>
        <color indexed="22"/>
      </font>
    </dxf>
    <dxf>
      <font>
        <condense val="0"/>
        <extend val="0"/>
        <color indexed="22"/>
      </font>
    </dxf>
    <dxf>
      <font>
        <b/>
        <i val="0"/>
        <condense val="0"/>
        <extend val="0"/>
        <color indexed="10"/>
      </font>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bgColor rgb="FFFF0000"/>
        </patternFill>
      </fill>
    </dxf>
    <dxf>
      <font>
        <color theme="0"/>
      </font>
      <fill>
        <patternFill patternType="solid">
          <fgColor theme="0"/>
          <bgColor rgb="FFFF0000"/>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rgb="FFFF000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ill>
        <patternFill patternType="lightUp">
          <fgColor indexed="22"/>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condense val="0"/>
        <extend val="0"/>
        <color indexed="55"/>
      </font>
    </dxf>
    <dxf>
      <font>
        <condense val="0"/>
        <extend val="0"/>
        <color indexed="55"/>
      </font>
    </dxf>
    <dxf>
      <fill>
        <patternFill patternType="lightUp">
          <fgColor indexed="22"/>
        </patternFill>
      </fill>
    </dxf>
    <dxf>
      <font>
        <b/>
        <i val="0"/>
        <condense val="0"/>
        <extend val="0"/>
        <color indexed="10"/>
      </font>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bgColor rgb="FFFF0000"/>
        </patternFill>
      </fill>
    </dxf>
    <dxf>
      <font>
        <color theme="0"/>
      </font>
      <fill>
        <patternFill patternType="solid">
          <fgColor theme="0"/>
          <bgColor rgb="FFFF0000"/>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rgb="FFFF000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ill>
        <patternFill patternType="lightUp">
          <fgColor indexed="22"/>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condense val="0"/>
        <extend val="0"/>
        <color indexed="55"/>
      </font>
    </dxf>
    <dxf>
      <font>
        <condense val="0"/>
        <extend val="0"/>
        <color indexed="55"/>
      </font>
    </dxf>
    <dxf>
      <fill>
        <patternFill patternType="lightUp">
          <fgColor indexed="22"/>
        </patternFill>
      </fill>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bgColor rgb="FFFF0000"/>
        </patternFill>
      </fill>
    </dxf>
    <dxf>
      <font>
        <color theme="0"/>
      </font>
      <fill>
        <patternFill patternType="solid">
          <fgColor theme="0"/>
          <bgColor rgb="FFFF0000"/>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rgb="FFFF000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ill>
        <patternFill patternType="lightUp">
          <fgColor indexed="22"/>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condense val="0"/>
        <extend val="0"/>
        <color indexed="55"/>
      </font>
    </dxf>
    <dxf>
      <font>
        <condense val="0"/>
        <extend val="0"/>
        <color indexed="55"/>
      </font>
    </dxf>
    <dxf>
      <fill>
        <patternFill patternType="lightUp">
          <fgColor indexed="22"/>
        </patternFill>
      </fill>
    </dxf>
    <dxf>
      <font>
        <b/>
        <i val="0"/>
        <condense val="0"/>
        <extend val="0"/>
        <color indexed="10"/>
      </font>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bgColor rgb="FFFF0000"/>
        </patternFill>
      </fill>
    </dxf>
    <dxf>
      <font>
        <color theme="0"/>
      </font>
      <fill>
        <patternFill patternType="solid">
          <fgColor theme="0"/>
          <bgColor rgb="FFFF0000"/>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rgb="FFFF000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ill>
        <patternFill patternType="lightUp">
          <fgColor indexed="22"/>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condense val="0"/>
        <extend val="0"/>
        <color indexed="55"/>
      </font>
    </dxf>
    <dxf>
      <font>
        <condense val="0"/>
        <extend val="0"/>
        <color indexed="55"/>
      </font>
    </dxf>
    <dxf>
      <fill>
        <patternFill patternType="lightUp">
          <fgColor indexed="22"/>
        </patternFill>
      </fill>
    </dxf>
    <dxf>
      <font>
        <b/>
        <i val="0"/>
        <condense val="0"/>
        <extend val="0"/>
        <color indexed="10"/>
      </font>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bgColor rgb="FFFF0000"/>
        </patternFill>
      </fill>
    </dxf>
    <dxf>
      <font>
        <color theme="0"/>
      </font>
      <fill>
        <patternFill patternType="solid">
          <fgColor theme="0"/>
          <bgColor rgb="FFFF0000"/>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rgb="FFFF000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ill>
        <patternFill patternType="lightUp">
          <fgColor indexed="22"/>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condense val="0"/>
        <extend val="0"/>
        <color indexed="55"/>
      </font>
    </dxf>
    <dxf>
      <font>
        <condense val="0"/>
        <extend val="0"/>
        <color indexed="55"/>
      </font>
    </dxf>
    <dxf>
      <fill>
        <patternFill patternType="lightUp">
          <fgColor indexed="22"/>
        </patternFill>
      </fill>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bgColor rgb="FFFF0000"/>
        </patternFill>
      </fill>
    </dxf>
    <dxf>
      <font>
        <color theme="0"/>
      </font>
      <fill>
        <patternFill patternType="solid">
          <fgColor theme="0"/>
          <bgColor rgb="FFFF0000"/>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rgb="FFFF000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ill>
        <patternFill patternType="lightUp">
          <fgColor indexed="22"/>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condense val="0"/>
        <extend val="0"/>
        <color indexed="55"/>
      </font>
    </dxf>
    <dxf>
      <font>
        <condense val="0"/>
        <extend val="0"/>
        <color indexed="55"/>
      </font>
    </dxf>
    <dxf>
      <fill>
        <patternFill patternType="lightUp">
          <fgColor indexed="22"/>
        </patternFill>
      </fill>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bgColor rgb="FFFF0000"/>
        </patternFill>
      </fill>
    </dxf>
    <dxf>
      <font>
        <color theme="0"/>
      </font>
      <fill>
        <patternFill patternType="solid">
          <fgColor theme="0"/>
          <bgColor rgb="FFFF0000"/>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rgb="FFFF000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ill>
        <patternFill patternType="lightUp">
          <fgColor indexed="22"/>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condense val="0"/>
        <extend val="0"/>
        <color indexed="55"/>
      </font>
    </dxf>
    <dxf>
      <font>
        <condense val="0"/>
        <extend val="0"/>
        <color indexed="55"/>
      </font>
    </dxf>
    <dxf>
      <fill>
        <patternFill patternType="lightUp">
          <fgColor indexed="22"/>
        </patternFill>
      </fill>
    </dxf>
    <dxf>
      <font>
        <b/>
        <i val="0"/>
        <condense val="0"/>
        <extend val="0"/>
        <color indexed="10"/>
      </font>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bgColor rgb="FFFF0000"/>
        </patternFill>
      </fill>
    </dxf>
    <dxf>
      <font>
        <color theme="0"/>
      </font>
      <fill>
        <patternFill patternType="solid">
          <fgColor theme="0"/>
          <bgColor rgb="FFFF0000"/>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rgb="FFFF000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ill>
        <patternFill patternType="lightUp">
          <fgColor indexed="22"/>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condense val="0"/>
        <extend val="0"/>
        <color indexed="55"/>
      </font>
    </dxf>
    <dxf>
      <font>
        <condense val="0"/>
        <extend val="0"/>
        <color indexed="55"/>
      </font>
    </dxf>
    <dxf>
      <fill>
        <patternFill patternType="lightUp">
          <fgColor indexed="22"/>
        </patternFill>
      </fill>
    </dxf>
    <dxf>
      <font>
        <b/>
        <i val="0"/>
        <condense val="0"/>
        <extend val="0"/>
        <color indexed="10"/>
      </font>
    </dxf>
    <dxf>
      <font>
        <b/>
        <i val="0"/>
        <condense val="0"/>
        <extend val="0"/>
        <color indexed="10"/>
      </font>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bgColor rgb="FFFF0000"/>
        </patternFill>
      </fill>
    </dxf>
    <dxf>
      <font>
        <color theme="0"/>
      </font>
      <fill>
        <patternFill patternType="solid">
          <fgColor theme="0"/>
          <bgColor rgb="FFFF0000"/>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rgb="FFFF000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ill>
        <patternFill patternType="lightUp">
          <fgColor indexed="22"/>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condense val="0"/>
        <extend val="0"/>
        <color indexed="55"/>
      </font>
    </dxf>
    <dxf>
      <font>
        <condense val="0"/>
        <extend val="0"/>
        <color indexed="55"/>
      </font>
    </dxf>
    <dxf>
      <fill>
        <patternFill patternType="lightUp">
          <fgColor indexed="22"/>
        </patternFill>
      </fill>
    </dxf>
    <dxf>
      <font>
        <b/>
        <i val="0"/>
        <condense val="0"/>
        <extend val="0"/>
        <color indexed="10"/>
      </font>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fgColor theme="0"/>
          <bgColor rgb="FFFF0000"/>
        </patternFill>
      </fill>
    </dxf>
    <dxf>
      <font>
        <color theme="0"/>
      </font>
      <fill>
        <patternFill patternType="solid">
          <bgColor rgb="FFFF0000"/>
        </patternFill>
      </fill>
    </dxf>
    <dxf>
      <font>
        <color theme="0"/>
      </font>
      <fill>
        <patternFill patternType="solid">
          <bgColor rgb="FFFF0000"/>
        </patternFill>
      </fill>
    </dxf>
    <dxf>
      <font>
        <color theme="0"/>
      </font>
      <fill>
        <patternFill patternType="solid">
          <fgColor theme="0"/>
          <bgColor rgb="FFFF0000"/>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rgb="FFFF000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ill>
        <patternFill patternType="lightUp">
          <fgColor indexed="22"/>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condense val="0"/>
        <extend val="0"/>
        <color indexed="55"/>
      </font>
    </dxf>
    <dxf>
      <font>
        <condense val="0"/>
        <extend val="0"/>
        <color indexed="55"/>
      </font>
    </dxf>
    <dxf>
      <fill>
        <patternFill patternType="lightUp">
          <fgColor indexed="22"/>
        </patternFill>
      </fill>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condense val="0"/>
        <extend val="0"/>
        <color indexed="55"/>
      </font>
    </dxf>
    <dxf>
      <font>
        <condense val="0"/>
        <extend val="0"/>
        <color indexed="55"/>
      </font>
    </dxf>
    <dxf>
      <fill>
        <patternFill patternType="lightUp">
          <fgColor indexed="22"/>
        </patternFill>
      </fill>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condense val="0"/>
        <extend val="0"/>
        <color indexed="55"/>
      </font>
    </dxf>
    <dxf>
      <font>
        <condense val="0"/>
        <extend val="0"/>
        <color indexed="55"/>
      </font>
    </dxf>
    <dxf>
      <fill>
        <patternFill patternType="lightUp">
          <fgColor indexed="22"/>
        </patternFill>
      </fill>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ill>
        <patternFill patternType="lightUp">
          <fgColor indexed="22"/>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condense val="0"/>
        <extend val="0"/>
        <color indexed="55"/>
      </font>
    </dxf>
    <dxf>
      <font>
        <condense val="0"/>
        <extend val="0"/>
        <color indexed="55"/>
      </font>
    </dxf>
    <dxf>
      <fill>
        <patternFill patternType="lightUp">
          <fgColor indexed="22"/>
        </patternFill>
      </fill>
    </dxf>
    <dxf>
      <font>
        <b/>
        <i val="0"/>
        <condense val="0"/>
        <extend val="0"/>
        <color indexed="9"/>
      </font>
      <fill>
        <patternFill>
          <bgColor indexed="10"/>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ill>
        <patternFill patternType="lightUp">
          <fgColor indexed="22"/>
          <bgColor indexed="9"/>
        </patternFill>
      </fill>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ill>
        <patternFill patternType="lightUp">
          <fgColor indexed="22"/>
        </patternFill>
      </fill>
    </dxf>
    <dxf>
      <font>
        <b/>
        <i val="0"/>
        <condense val="0"/>
        <extend val="0"/>
        <color indexed="9"/>
      </font>
      <fill>
        <patternFill patternType="solid">
          <bgColor indexed="10"/>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condense val="0"/>
        <extend val="0"/>
        <color indexed="55"/>
      </font>
    </dxf>
    <dxf>
      <font>
        <condense val="0"/>
        <extend val="0"/>
        <color indexed="55"/>
      </font>
    </dxf>
    <dxf>
      <fill>
        <patternFill patternType="lightUp">
          <fgColor indexed="22"/>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ill>
        <patternFill patternType="lightUp">
          <fgColor indexed="22"/>
        </patternFill>
      </fill>
    </dxf>
    <dxf>
      <font>
        <b/>
        <i val="0"/>
        <condense val="0"/>
        <extend val="0"/>
        <color indexed="9"/>
      </font>
      <fill>
        <patternFill patternType="solid">
          <bgColor indexed="10"/>
        </patternFill>
      </fill>
    </dxf>
    <dxf>
      <fill>
        <patternFill patternType="lightUp">
          <fgColor indexed="22"/>
          <bgColor indexed="9"/>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ill>
        <patternFill patternType="lightUp">
          <fgColor indexed="22"/>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ont>
        <b/>
        <i val="0"/>
        <condense val="0"/>
        <extend val="0"/>
        <color indexed="9"/>
      </font>
      <fill>
        <patternFill>
          <bgColor indexed="10"/>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condense val="0"/>
        <extend val="0"/>
        <color indexed="55"/>
      </font>
    </dxf>
    <dxf>
      <font>
        <condense val="0"/>
        <extend val="0"/>
        <color indexed="55"/>
      </font>
    </dxf>
    <dxf>
      <fill>
        <patternFill patternType="lightUp">
          <fgColor indexed="22"/>
        </patternFill>
      </fill>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lightUp">
          <fgColor indexed="22"/>
        </patternFill>
      </fill>
    </dxf>
    <dxf>
      <fill>
        <patternFill patternType="none">
          <bgColor indexed="65"/>
        </patternFill>
      </fill>
      <border>
        <left style="thin">
          <color indexed="53"/>
        </left>
        <right style="thin">
          <color indexed="53"/>
        </right>
        <top style="thin">
          <color indexed="53"/>
        </top>
        <bottom style="thin">
          <color indexed="53"/>
        </bottom>
      </border>
    </dxf>
    <dxf>
      <font>
        <b/>
        <i val="0"/>
        <color theme="0"/>
      </font>
      <fill>
        <patternFill>
          <bgColor rgb="FFFF0000"/>
        </patternFill>
      </fill>
    </dxf>
    <dxf>
      <font>
        <b/>
        <i val="0"/>
        <color theme="0"/>
      </font>
      <fill>
        <patternFill>
          <bgColor rgb="FFFF0000"/>
        </patternFill>
      </fill>
    </dxf>
    <dxf>
      <fill>
        <patternFill patternType="lightUp">
          <fgColor indexed="22"/>
          <bgColor indexed="9"/>
        </patternFill>
      </fill>
    </dxf>
    <dxf>
      <fill>
        <patternFill patternType="lightUp">
          <fgColor indexed="22"/>
          <bgColor indexed="9"/>
        </patternFill>
      </fill>
    </dxf>
    <dxf>
      <font>
        <b/>
        <i val="0"/>
        <condense val="0"/>
        <extend val="0"/>
        <color indexed="10"/>
      </font>
    </dxf>
    <dxf>
      <font>
        <b/>
        <i val="0"/>
        <condense val="0"/>
        <extend val="0"/>
        <color indexed="10"/>
      </font>
    </dxf>
    <dxf>
      <font>
        <b/>
        <i val="0"/>
        <condense val="0"/>
        <extend val="0"/>
        <color indexed="10"/>
      </font>
      <border>
        <left/>
        <right/>
        <top/>
        <bottom/>
      </border>
    </dxf>
    <dxf>
      <fill>
        <patternFill>
          <bgColor indexed="50"/>
        </patternFill>
      </fill>
    </dxf>
    <dxf>
      <font>
        <b/>
        <i val="0"/>
        <condense val="0"/>
        <extend val="0"/>
      </font>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ill>
        <patternFill patternType="lightUp">
          <fgColor indexed="22"/>
        </patternFill>
      </fill>
    </dxf>
    <dxf>
      <font>
        <b/>
        <i val="0"/>
        <condense val="0"/>
        <extend val="0"/>
        <color indexed="9"/>
      </font>
      <fill>
        <patternFill patternType="solid">
          <bgColor indexed="10"/>
        </patternFill>
      </fill>
    </dxf>
    <dxf>
      <fill>
        <patternFill patternType="lightUp">
          <fgColor indexed="22"/>
          <bgColor indexed="9"/>
        </patternFill>
      </fill>
    </dxf>
    <dxf>
      <font>
        <b/>
        <i val="0"/>
        <condense val="0"/>
        <extend val="0"/>
      </font>
      <fill>
        <patternFill>
          <bgColor indexed="51"/>
        </patternFill>
      </fill>
    </dxf>
    <dxf>
      <font>
        <b/>
        <i val="0"/>
        <condense val="0"/>
        <extend val="0"/>
        <color indexed="9"/>
      </font>
      <fill>
        <patternFill patternType="solid">
          <bgColor indexed="10"/>
        </patternFill>
      </fill>
    </dxf>
    <dxf>
      <fill>
        <patternFill patternType="lightUp">
          <fgColor indexed="22"/>
        </patternFill>
      </fill>
    </dxf>
    <dxf>
      <fill>
        <patternFill patternType="lightUp">
          <fgColor indexed="22"/>
        </patternFill>
      </fill>
    </dxf>
    <dxf>
      <font>
        <b val="0"/>
        <i val="0"/>
        <condense val="0"/>
        <extend val="0"/>
        <color indexed="63"/>
      </font>
      <fill>
        <patternFill patternType="mediumGray">
          <fgColor indexed="43"/>
          <bgColor indexed="9"/>
        </patternFill>
      </fill>
    </dxf>
    <dxf>
      <font>
        <b/>
        <i val="0"/>
        <condense val="0"/>
        <extend val="0"/>
        <color indexed="9"/>
      </font>
      <fill>
        <patternFill>
          <fgColor indexed="9"/>
          <bgColor indexed="10"/>
        </patternFill>
      </fill>
    </dxf>
    <dxf>
      <fill>
        <patternFill patternType="solid">
          <bgColor indexed="51"/>
        </patternFill>
      </fill>
    </dxf>
    <dxf>
      <font>
        <b/>
        <i val="0"/>
        <condense val="0"/>
        <extend val="0"/>
        <color indexed="9"/>
      </font>
      <fill>
        <patternFill patternType="solid">
          <bgColor indexed="10"/>
        </patternFill>
      </fill>
    </dxf>
    <dxf>
      <fill>
        <patternFill>
          <bgColor indexed="51"/>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condense val="0"/>
        <extend val="0"/>
        <color indexed="9"/>
      </font>
      <fill>
        <patternFill patternType="solid">
          <bgColor indexed="10"/>
        </patternFill>
      </fill>
    </dxf>
    <dxf>
      <font>
        <b/>
        <i val="0"/>
        <condense val="0"/>
        <extend val="0"/>
        <color indexed="9"/>
      </font>
      <fill>
        <patternFill patternType="solid">
          <bgColor indexed="10"/>
        </patternFill>
      </fill>
    </dxf>
    <dxf>
      <font>
        <b/>
        <i val="0"/>
        <condense val="0"/>
        <extend val="0"/>
        <color indexed="9"/>
      </font>
      <fill>
        <patternFill>
          <bgColor indexed="10"/>
        </patternFill>
      </fill>
    </dxf>
    <dxf>
      <fill>
        <patternFill patternType="lightUp">
          <fgColor indexed="22"/>
        </patternFill>
      </fill>
    </dxf>
    <dxf>
      <font>
        <condense val="0"/>
        <extend val="0"/>
        <color indexed="9"/>
      </font>
    </dxf>
    <dxf>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ill>
        <patternFill patternType="none">
          <bgColor indexed="65"/>
        </patternFill>
      </fill>
    </dxf>
    <dxf>
      <font>
        <b/>
        <i val="0"/>
        <condense val="0"/>
        <extend val="0"/>
        <color indexed="8"/>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none">
          <bgColor indexed="65"/>
        </patternFill>
      </fill>
      <border>
        <left style="thin">
          <color indexed="60"/>
        </left>
        <right style="thin">
          <color indexed="60"/>
        </right>
        <top style="thin">
          <color indexed="60"/>
        </top>
        <bottom style="thin">
          <color indexed="60"/>
        </bottom>
      </border>
    </dxf>
    <dxf>
      <fill>
        <patternFill patternType="lightUp">
          <fgColor indexed="22"/>
          <bgColor indexed="9"/>
        </patternFill>
      </fill>
    </dxf>
    <dxf>
      <fill>
        <patternFill patternType="none">
          <bgColor indexed="65"/>
        </patternFill>
      </fill>
      <border>
        <left style="thin">
          <color indexed="53"/>
        </left>
        <right style="thin">
          <color indexed="53"/>
        </right>
        <top style="thin">
          <color indexed="53"/>
        </top>
        <bottom style="thin">
          <color indexed="53"/>
        </bottom>
      </border>
    </dxf>
    <dxf>
      <fill>
        <patternFill patternType="solid">
          <bgColor indexed="13"/>
        </patternFill>
      </fill>
    </dxf>
    <dxf>
      <font>
        <b/>
        <i val="0"/>
        <condense val="0"/>
        <extend val="0"/>
        <color indexed="9"/>
      </font>
      <fill>
        <patternFill>
          <bgColor indexed="10"/>
        </patternFill>
      </fill>
    </dxf>
    <dxf>
      <fill>
        <patternFill>
          <bgColor indexed="13"/>
        </patternFill>
      </fill>
    </dxf>
    <dxf>
      <font>
        <b/>
        <i val="0"/>
        <condense val="0"/>
        <extend val="0"/>
        <color indexed="10"/>
      </font>
    </dxf>
    <dxf>
      <font>
        <b/>
        <i val="0"/>
        <condense val="0"/>
        <extend val="0"/>
        <color indexed="10"/>
      </font>
    </dxf>
    <dxf>
      <font>
        <b/>
        <i val="0"/>
        <condense val="0"/>
        <extend val="0"/>
        <color indexed="10"/>
      </font>
    </dxf>
    <dxf>
      <font>
        <condense val="0"/>
        <extend val="0"/>
        <color indexed="63"/>
      </font>
      <fill>
        <patternFill patternType="solid">
          <fgColor indexed="13"/>
          <bgColor indexed="51"/>
        </patternFill>
      </fill>
    </dxf>
    <dxf>
      <fill>
        <patternFill patternType="lightUp">
          <fgColor indexed="22"/>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ont>
        <condense val="0"/>
        <extend val="0"/>
        <color indexed="55"/>
      </font>
    </dxf>
    <dxf>
      <font>
        <condense val="0"/>
        <extend val="0"/>
        <color indexed="55"/>
      </font>
    </dxf>
    <dxf>
      <fill>
        <patternFill patternType="lightUp">
          <fgColor indexed="2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ndense val="0"/>
        <extend val="0"/>
        <color indexed="8"/>
      </font>
      <fill>
        <patternFill>
          <bgColor indexed="13"/>
        </patternFill>
      </fill>
    </dxf>
    <dxf>
      <font>
        <b/>
        <i val="0"/>
        <condense val="0"/>
        <extend val="0"/>
        <color indexed="9"/>
      </font>
      <fill>
        <patternFill>
          <bgColor indexed="10"/>
        </patternFill>
      </fill>
      <border>
        <left style="thin">
          <color indexed="9"/>
        </left>
        <right style="thin">
          <color indexed="9"/>
        </right>
        <top style="thin">
          <color indexed="9"/>
        </top>
        <bottom style="thin">
          <color indexed="9"/>
        </bottom>
      </border>
    </dxf>
    <dxf>
      <fill>
        <patternFill>
          <bgColor theme="0" tint="-0.34998626667073579"/>
        </patternFill>
      </fill>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b/>
        <i val="0"/>
        <condense val="0"/>
        <extend val="0"/>
        <color indexed="8"/>
      </font>
      <fill>
        <patternFill>
          <bgColor indexed="13"/>
        </patternFill>
      </fill>
    </dxf>
    <dxf>
      <font>
        <b/>
        <i val="0"/>
        <condense val="0"/>
        <extend val="0"/>
        <color indexed="9"/>
      </font>
      <fill>
        <patternFill>
          <bgColor indexed="10"/>
        </patternFill>
      </fill>
      <border>
        <left style="thin">
          <color indexed="9"/>
        </left>
        <right style="thin">
          <color indexed="9"/>
        </right>
        <top style="thin">
          <color indexed="9"/>
        </top>
        <bottom style="thin">
          <color indexed="9"/>
        </bottom>
      </border>
    </dxf>
  </dxfs>
  <tableStyles count="0" defaultTableStyle="TableStyleMedium9" defaultPivotStyle="PivotStyleLight16"/>
  <colors>
    <mruColors>
      <color rgb="FF0000FF"/>
      <color rgb="FF33CC33"/>
      <color rgb="FFD27E7C"/>
      <color rgb="FF339933"/>
      <color rgb="FF66FF66"/>
      <color rgb="FF66FF33"/>
      <color rgb="FFBDFFBD"/>
      <color rgb="FF99CC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N426CP!$AE$20</c:f>
              <c:numCache>
                <c:formatCode>#,##0.0</c:formatCode>
                <c:ptCount val="1"/>
                <c:pt idx="0">
                  <c:v>39.192883917775092</c:v>
                </c:pt>
              </c:numCache>
            </c:numRef>
          </c:xVal>
          <c:yVal>
            <c:numRef>
              <c:f>N426CP!$AA$20</c:f>
              <c:numCache>
                <c:formatCode>#,##0.0</c:formatCode>
                <c:ptCount val="1"/>
                <c:pt idx="0">
                  <c:v>1654</c:v>
                </c:pt>
              </c:numCache>
            </c:numRef>
          </c:yVal>
          <c:smooth val="0"/>
          <c:extLst>
            <c:ext xmlns:c16="http://schemas.microsoft.com/office/drawing/2014/chart" uri="{C3380CC4-5D6E-409C-BE32-E72D297353CC}">
              <c16:uniqueId val="{00000000-86D3-48FC-B6F6-E61CE8034C70}"/>
            </c:ext>
          </c:extLst>
        </c:ser>
        <c:ser>
          <c:idx val="1"/>
          <c:order val="1"/>
          <c:tx>
            <c:v>Landing</c:v>
          </c:tx>
          <c:spPr>
            <a:ln w="28575">
              <a:noFill/>
            </a:ln>
          </c:spPr>
          <c:marker>
            <c:symbol val="circle"/>
            <c:size val="10"/>
            <c:spPr>
              <a:solidFill>
                <a:srgbClr val="C0C0C0"/>
              </a:solidFill>
              <a:ln>
                <a:solidFill>
                  <a:srgbClr val="C0C0C0"/>
                </a:solidFill>
                <a:prstDash val="solid"/>
              </a:ln>
            </c:spPr>
          </c:marker>
          <c:dLbls>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N426CP!$AE$44</c:f>
              <c:numCache>
                <c:formatCode>#,##0.0</c:formatCode>
                <c:ptCount val="1"/>
                <c:pt idx="0">
                  <c:v>39.192883917775092</c:v>
                </c:pt>
              </c:numCache>
            </c:numRef>
          </c:xVal>
          <c:yVal>
            <c:numRef>
              <c:f>N426CP!$AA$44</c:f>
              <c:numCache>
                <c:formatCode>#,##0.0</c:formatCode>
                <c:ptCount val="1"/>
                <c:pt idx="0">
                  <c:v>1654</c:v>
                </c:pt>
              </c:numCache>
            </c:numRef>
          </c:yVal>
          <c:smooth val="0"/>
          <c:extLst>
            <c:ext xmlns:c16="http://schemas.microsoft.com/office/drawing/2014/chart" uri="{C3380CC4-5D6E-409C-BE32-E72D297353CC}">
              <c16:uniqueId val="{00000001-86D3-48FC-B6F6-E61CE8034C70}"/>
            </c:ext>
          </c:extLst>
        </c:ser>
        <c:dLbls>
          <c:showLegendKey val="0"/>
          <c:showVal val="0"/>
          <c:showCatName val="0"/>
          <c:showSerName val="1"/>
          <c:showPercent val="0"/>
          <c:showBubbleSize val="0"/>
        </c:dLbls>
        <c:axId val="105307520"/>
        <c:axId val="105239680"/>
      </c:scatterChart>
      <c:valAx>
        <c:axId val="105307520"/>
        <c:scaling>
          <c:orientation val="minMax"/>
          <c:max val="48"/>
          <c:min val="34"/>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5239680"/>
        <c:crosses val="autoZero"/>
        <c:crossBetween val="midCat"/>
        <c:majorUnit val="1"/>
        <c:minorUnit val="1"/>
      </c:valAx>
      <c:valAx>
        <c:axId val="105239680"/>
        <c:scaling>
          <c:orientation val="minMax"/>
          <c:max val="2600"/>
          <c:min val="15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5307520"/>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'NoUnlockCAP 1223'!$AE$20</c:f>
              <c:numCache>
                <c:formatCode>#,##0.0</c:formatCode>
                <c:ptCount val="1"/>
                <c:pt idx="0">
                  <c:v>37.74304275163081</c:v>
                </c:pt>
              </c:numCache>
            </c:numRef>
          </c:xVal>
          <c:yVal>
            <c:numRef>
              <c:f>'NoUnlockCAP 1223'!$AA$20</c:f>
              <c:numCache>
                <c:formatCode>#,##0.0</c:formatCode>
                <c:ptCount val="1"/>
                <c:pt idx="0">
                  <c:v>1854.9</c:v>
                </c:pt>
              </c:numCache>
            </c:numRef>
          </c:yVal>
          <c:smooth val="0"/>
          <c:extLst>
            <c:ext xmlns:c16="http://schemas.microsoft.com/office/drawing/2014/chart" uri="{C3380CC4-5D6E-409C-BE32-E72D297353CC}">
              <c16:uniqueId val="{00000000-7D80-442D-9701-7A759DF0141D}"/>
            </c:ext>
          </c:extLst>
        </c:ser>
        <c:ser>
          <c:idx val="1"/>
          <c:order val="1"/>
          <c:tx>
            <c:v>Landing</c:v>
          </c:tx>
          <c:spPr>
            <a:ln w="28575">
              <a:noFill/>
            </a:ln>
          </c:spPr>
          <c:marker>
            <c:symbol val="circle"/>
            <c:size val="10"/>
            <c:spPr>
              <a:solidFill>
                <a:srgbClr val="C0C0C0"/>
              </a:solidFill>
              <a:ln>
                <a:solidFill>
                  <a:srgbClr val="C0C0C0"/>
                </a:solidFill>
                <a:prstDash val="solid"/>
              </a:ln>
            </c:spPr>
          </c:marker>
          <c:dPt>
            <c:idx val="0"/>
            <c:marker>
              <c:spPr>
                <a:solidFill>
                  <a:srgbClr val="00B050"/>
                </a:solidFill>
                <a:ln>
                  <a:solidFill>
                    <a:srgbClr val="C0C0C0"/>
                  </a:solidFill>
                  <a:prstDash val="solid"/>
                </a:ln>
              </c:spPr>
            </c:marker>
            <c:bubble3D val="0"/>
            <c:extLst>
              <c:ext xmlns:c16="http://schemas.microsoft.com/office/drawing/2014/chart" uri="{C3380CC4-5D6E-409C-BE32-E72D297353CC}">
                <c16:uniqueId val="{00000001-7D80-442D-9701-7A759DF0141D}"/>
              </c:ext>
            </c:extLst>
          </c:dPt>
          <c:dLbls>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'NoUnlockCAP 1223'!$AE$44</c:f>
              <c:numCache>
                <c:formatCode>#,##0.0</c:formatCode>
                <c:ptCount val="1"/>
                <c:pt idx="0">
                  <c:v>37.74304275163081</c:v>
                </c:pt>
              </c:numCache>
            </c:numRef>
          </c:xVal>
          <c:yVal>
            <c:numRef>
              <c:f>'NoUnlockCAP 1223'!$AA$44</c:f>
              <c:numCache>
                <c:formatCode>#,##0.0</c:formatCode>
                <c:ptCount val="1"/>
                <c:pt idx="0">
                  <c:v>1854.9</c:v>
                </c:pt>
              </c:numCache>
            </c:numRef>
          </c:yVal>
          <c:smooth val="0"/>
          <c:extLst>
            <c:ext xmlns:c16="http://schemas.microsoft.com/office/drawing/2014/chart" uri="{C3380CC4-5D6E-409C-BE32-E72D297353CC}">
              <c16:uniqueId val="{00000002-7D80-442D-9701-7A759DF0141D}"/>
            </c:ext>
          </c:extLst>
        </c:ser>
        <c:dLbls>
          <c:showLegendKey val="0"/>
          <c:showVal val="0"/>
          <c:showCatName val="0"/>
          <c:showSerName val="1"/>
          <c:showPercent val="0"/>
          <c:showBubbleSize val="0"/>
        </c:dLbls>
        <c:axId val="132250240"/>
        <c:axId val="132317568"/>
      </c:scatterChart>
      <c:valAx>
        <c:axId val="132250240"/>
        <c:scaling>
          <c:orientation val="minMax"/>
          <c:max val="47"/>
          <c:min val="32"/>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317568"/>
        <c:crosses val="autoZero"/>
        <c:crossBetween val="midCat"/>
        <c:majorUnit val="1"/>
        <c:minorUnit val="1"/>
      </c:valAx>
      <c:valAx>
        <c:axId val="132317568"/>
        <c:scaling>
          <c:orientation val="minMax"/>
          <c:max val="3200"/>
          <c:min val="19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250240"/>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NoUnlockCAP1238!$AE$20</c:f>
              <c:numCache>
                <c:formatCode>#,##0.0</c:formatCode>
                <c:ptCount val="1"/>
                <c:pt idx="0">
                  <c:v>39.435653915677364</c:v>
                </c:pt>
              </c:numCache>
            </c:numRef>
          </c:xVal>
          <c:yVal>
            <c:numRef>
              <c:f>NoUnlockCAP1238!$AA$20</c:f>
              <c:numCache>
                <c:formatCode>#,##0.0</c:formatCode>
                <c:ptCount val="1"/>
                <c:pt idx="0">
                  <c:v>2046.9</c:v>
                </c:pt>
              </c:numCache>
            </c:numRef>
          </c:yVal>
          <c:smooth val="0"/>
          <c:extLst>
            <c:ext xmlns:c16="http://schemas.microsoft.com/office/drawing/2014/chart" uri="{C3380CC4-5D6E-409C-BE32-E72D297353CC}">
              <c16:uniqueId val="{00000000-E3F4-41A7-8E92-7B873635F23E}"/>
            </c:ext>
          </c:extLst>
        </c:ser>
        <c:ser>
          <c:idx val="1"/>
          <c:order val="1"/>
          <c:tx>
            <c:v>Landing</c:v>
          </c:tx>
          <c:spPr>
            <a:ln w="28575">
              <a:noFill/>
            </a:ln>
          </c:spPr>
          <c:marker>
            <c:symbol val="circle"/>
            <c:size val="10"/>
            <c:spPr>
              <a:solidFill>
                <a:srgbClr val="C0C0C0"/>
              </a:solidFill>
              <a:ln>
                <a:solidFill>
                  <a:srgbClr val="C0C0C0"/>
                </a:solidFill>
                <a:prstDash val="solid"/>
              </a:ln>
            </c:spPr>
          </c:marker>
          <c:dLbls>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NoUnlockCAP1238!$AE$44</c:f>
              <c:numCache>
                <c:formatCode>#,##0.0</c:formatCode>
                <c:ptCount val="1"/>
                <c:pt idx="0">
                  <c:v>39.435653915677364</c:v>
                </c:pt>
              </c:numCache>
            </c:numRef>
          </c:xVal>
          <c:yVal>
            <c:numRef>
              <c:f>NoUnlockCAP1238!$AA$44</c:f>
              <c:numCache>
                <c:formatCode>#,##0.0</c:formatCode>
                <c:ptCount val="1"/>
                <c:pt idx="0">
                  <c:v>2046.9</c:v>
                </c:pt>
              </c:numCache>
            </c:numRef>
          </c:yVal>
          <c:smooth val="0"/>
          <c:extLst>
            <c:ext xmlns:c16="http://schemas.microsoft.com/office/drawing/2014/chart" uri="{C3380CC4-5D6E-409C-BE32-E72D297353CC}">
              <c16:uniqueId val="{00000001-E3F4-41A7-8E92-7B873635F23E}"/>
            </c:ext>
          </c:extLst>
        </c:ser>
        <c:dLbls>
          <c:showLegendKey val="0"/>
          <c:showVal val="0"/>
          <c:showCatName val="0"/>
          <c:showSerName val="1"/>
          <c:showPercent val="0"/>
          <c:showBubbleSize val="0"/>
        </c:dLbls>
        <c:axId val="132559616"/>
        <c:axId val="132561152"/>
      </c:scatterChart>
      <c:valAx>
        <c:axId val="132559616"/>
        <c:scaling>
          <c:orientation val="minMax"/>
          <c:max val="47"/>
          <c:min val="32"/>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561152"/>
        <c:crosses val="autoZero"/>
        <c:crossBetween val="midCat"/>
        <c:majorUnit val="1"/>
        <c:minorUnit val="1"/>
      </c:valAx>
      <c:valAx>
        <c:axId val="132561152"/>
        <c:scaling>
          <c:orientation val="minMax"/>
          <c:max val="3200"/>
          <c:min val="18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559616"/>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N402CV!$AE$20</c:f>
              <c:numCache>
                <c:formatCode>#,##0.0</c:formatCode>
                <c:ptCount val="1"/>
                <c:pt idx="0">
                  <c:v>40.770830397917997</c:v>
                </c:pt>
              </c:numCache>
            </c:numRef>
          </c:xVal>
          <c:yVal>
            <c:numRef>
              <c:f>N402CV!$AA$20</c:f>
              <c:numCache>
                <c:formatCode>#,##0.0</c:formatCode>
                <c:ptCount val="1"/>
                <c:pt idx="0">
                  <c:v>2413.06</c:v>
                </c:pt>
              </c:numCache>
            </c:numRef>
          </c:yVal>
          <c:smooth val="0"/>
          <c:extLst>
            <c:ext xmlns:c16="http://schemas.microsoft.com/office/drawing/2014/chart" uri="{C3380CC4-5D6E-409C-BE32-E72D297353CC}">
              <c16:uniqueId val="{00000000-10CA-47B3-ABEF-8C9A796DB7D0}"/>
            </c:ext>
          </c:extLst>
        </c:ser>
        <c:ser>
          <c:idx val="1"/>
          <c:order val="1"/>
          <c:tx>
            <c:v>Landing</c:v>
          </c:tx>
          <c:spPr>
            <a:ln w="28575">
              <a:noFill/>
            </a:ln>
          </c:spPr>
          <c:marker>
            <c:symbol val="circle"/>
            <c:size val="10"/>
            <c:spPr>
              <a:solidFill>
                <a:srgbClr val="92D050"/>
              </a:solidFill>
              <a:ln>
                <a:solidFill>
                  <a:srgbClr val="C0C0C0"/>
                </a:solidFill>
                <a:prstDash val="solid"/>
              </a:ln>
            </c:spPr>
          </c:marker>
          <c:dLbls>
            <c:dLbl>
              <c:idx val="0"/>
              <c:spPr>
                <a:noFill/>
                <a:ln w="25400">
                  <a:noFill/>
                </a:ln>
              </c:spPr>
              <c:txPr>
                <a:bodyPr/>
                <a:lstStyle/>
                <a:p>
                  <a:pPr>
                    <a:defRPr sz="800" b="0" i="0" u="none" strike="noStrike" baseline="0">
                      <a:solidFill>
                        <a:schemeClr val="tx1">
                          <a:lumMod val="95000"/>
                          <a:lumOff val="5000"/>
                        </a:schemeClr>
                      </a:solidFill>
                      <a:latin typeface="Arial"/>
                      <a:ea typeface="Arial"/>
                      <a:cs typeface="Arial"/>
                    </a:defRPr>
                  </a:pPr>
                  <a:endParaRPr lang="en-US"/>
                </a:p>
              </c:txPr>
              <c:showLegendKey val="0"/>
              <c:showVal val="0"/>
              <c:showCatName val="0"/>
              <c:showSerName val="1"/>
              <c:showPercent val="0"/>
              <c:showBubbleSize val="0"/>
              <c:extLst>
                <c:ext xmlns:c16="http://schemas.microsoft.com/office/drawing/2014/chart" uri="{C3380CC4-5D6E-409C-BE32-E72D297353CC}">
                  <c16:uniqueId val="{00000001-10CA-47B3-ABEF-8C9A796DB7D0}"/>
                </c:ext>
              </c:extLst>
            </c:dLbl>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N402CV!$AE$44</c:f>
              <c:numCache>
                <c:formatCode>#,##0.0</c:formatCode>
                <c:ptCount val="1"/>
                <c:pt idx="0">
                  <c:v>40.770830397917997</c:v>
                </c:pt>
              </c:numCache>
            </c:numRef>
          </c:xVal>
          <c:yVal>
            <c:numRef>
              <c:f>N402CV!$AA$44</c:f>
              <c:numCache>
                <c:formatCode>#,##0.0</c:formatCode>
                <c:ptCount val="1"/>
                <c:pt idx="0">
                  <c:v>2413.06</c:v>
                </c:pt>
              </c:numCache>
            </c:numRef>
          </c:yVal>
          <c:smooth val="0"/>
          <c:extLst>
            <c:ext xmlns:c16="http://schemas.microsoft.com/office/drawing/2014/chart" uri="{C3380CC4-5D6E-409C-BE32-E72D297353CC}">
              <c16:uniqueId val="{00000002-10CA-47B3-ABEF-8C9A796DB7D0}"/>
            </c:ext>
          </c:extLst>
        </c:ser>
        <c:dLbls>
          <c:showLegendKey val="0"/>
          <c:showVal val="0"/>
          <c:showCatName val="0"/>
          <c:showSerName val="1"/>
          <c:showPercent val="0"/>
          <c:showBubbleSize val="0"/>
        </c:dLbls>
        <c:axId val="133670784"/>
        <c:axId val="133672320"/>
      </c:scatterChart>
      <c:valAx>
        <c:axId val="133670784"/>
        <c:scaling>
          <c:orientation val="minMax"/>
          <c:max val="47"/>
          <c:min val="32"/>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672320"/>
        <c:crosses val="autoZero"/>
        <c:crossBetween val="midCat"/>
        <c:majorUnit val="1"/>
        <c:minorUnit val="1"/>
      </c:valAx>
      <c:valAx>
        <c:axId val="133672320"/>
        <c:scaling>
          <c:orientation val="minMax"/>
          <c:max val="3200"/>
          <c:min val="18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670784"/>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NxxxCP!$AE$20</c:f>
              <c:numCache>
                <c:formatCode>#,##0.0</c:formatCode>
                <c:ptCount val="1"/>
                <c:pt idx="0">
                  <c:v>40.586848223181669</c:v>
                </c:pt>
              </c:numCache>
            </c:numRef>
          </c:xVal>
          <c:yVal>
            <c:numRef>
              <c:f>NxxxCP!$AA$20</c:f>
              <c:numCache>
                <c:formatCode>#,##0.0</c:formatCode>
                <c:ptCount val="1"/>
                <c:pt idx="0">
                  <c:v>2408.8000000000002</c:v>
                </c:pt>
              </c:numCache>
            </c:numRef>
          </c:yVal>
          <c:smooth val="0"/>
          <c:extLst>
            <c:ext xmlns:c16="http://schemas.microsoft.com/office/drawing/2014/chart" uri="{C3380CC4-5D6E-409C-BE32-E72D297353CC}">
              <c16:uniqueId val="{00000000-6ABE-4EF5-AB8A-789127892D54}"/>
            </c:ext>
          </c:extLst>
        </c:ser>
        <c:ser>
          <c:idx val="1"/>
          <c:order val="1"/>
          <c:tx>
            <c:v>Landing</c:v>
          </c:tx>
          <c:spPr>
            <a:ln w="28575">
              <a:noFill/>
            </a:ln>
          </c:spPr>
          <c:marker>
            <c:symbol val="circle"/>
            <c:size val="10"/>
            <c:spPr>
              <a:solidFill>
                <a:srgbClr val="92D050"/>
              </a:solidFill>
              <a:ln>
                <a:solidFill>
                  <a:srgbClr val="C0C0C0"/>
                </a:solidFill>
                <a:prstDash val="solid"/>
              </a:ln>
            </c:spPr>
          </c:marker>
          <c:dLbls>
            <c:dLbl>
              <c:idx val="0"/>
              <c:spPr>
                <a:noFill/>
                <a:ln w="25400">
                  <a:noFill/>
                </a:ln>
              </c:spPr>
              <c:txPr>
                <a:bodyPr/>
                <a:lstStyle/>
                <a:p>
                  <a:pPr>
                    <a:defRPr sz="800" b="0" i="0" u="none" strike="noStrike" baseline="0">
                      <a:solidFill>
                        <a:schemeClr val="tx1">
                          <a:lumMod val="95000"/>
                          <a:lumOff val="5000"/>
                        </a:schemeClr>
                      </a:solidFill>
                      <a:latin typeface="Arial"/>
                      <a:ea typeface="Arial"/>
                      <a:cs typeface="Arial"/>
                    </a:defRPr>
                  </a:pPr>
                  <a:endParaRPr lang="en-US"/>
                </a:p>
              </c:txPr>
              <c:showLegendKey val="0"/>
              <c:showVal val="0"/>
              <c:showCatName val="0"/>
              <c:showSerName val="1"/>
              <c:showPercent val="0"/>
              <c:showBubbleSize val="0"/>
              <c:extLst>
                <c:ext xmlns:c16="http://schemas.microsoft.com/office/drawing/2014/chart" uri="{C3380CC4-5D6E-409C-BE32-E72D297353CC}">
                  <c16:uniqueId val="{00000001-6ABE-4EF5-AB8A-789127892D54}"/>
                </c:ext>
              </c:extLst>
            </c:dLbl>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NxxxCP!$AE$44</c:f>
              <c:numCache>
                <c:formatCode>#,##0.0</c:formatCode>
                <c:ptCount val="1"/>
                <c:pt idx="0">
                  <c:v>40.586848223181669</c:v>
                </c:pt>
              </c:numCache>
            </c:numRef>
          </c:xVal>
          <c:yVal>
            <c:numRef>
              <c:f>NxxxCP!$AA$44</c:f>
              <c:numCache>
                <c:formatCode>#,##0.0</c:formatCode>
                <c:ptCount val="1"/>
                <c:pt idx="0">
                  <c:v>2408.8000000000002</c:v>
                </c:pt>
              </c:numCache>
            </c:numRef>
          </c:yVal>
          <c:smooth val="0"/>
          <c:extLst>
            <c:ext xmlns:c16="http://schemas.microsoft.com/office/drawing/2014/chart" uri="{C3380CC4-5D6E-409C-BE32-E72D297353CC}">
              <c16:uniqueId val="{00000002-6ABE-4EF5-AB8A-789127892D54}"/>
            </c:ext>
          </c:extLst>
        </c:ser>
        <c:dLbls>
          <c:showLegendKey val="0"/>
          <c:showVal val="0"/>
          <c:showCatName val="0"/>
          <c:showSerName val="1"/>
          <c:showPercent val="0"/>
          <c:showBubbleSize val="0"/>
        </c:dLbls>
        <c:axId val="133670784"/>
        <c:axId val="133672320"/>
      </c:scatterChart>
      <c:valAx>
        <c:axId val="133670784"/>
        <c:scaling>
          <c:orientation val="minMax"/>
          <c:max val="47"/>
          <c:min val="32"/>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672320"/>
        <c:crosses val="autoZero"/>
        <c:crossBetween val="midCat"/>
        <c:majorUnit val="1"/>
        <c:minorUnit val="1"/>
      </c:valAx>
      <c:valAx>
        <c:axId val="133672320"/>
        <c:scaling>
          <c:orientation val="minMax"/>
          <c:max val="3200"/>
          <c:min val="18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670784"/>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NoUnlockN471CP!$AE$20</c:f>
              <c:numCache>
                <c:formatCode>#,##0.0</c:formatCode>
                <c:ptCount val="1"/>
                <c:pt idx="0">
                  <c:v>36.461604905358577</c:v>
                </c:pt>
              </c:numCache>
            </c:numRef>
          </c:xVal>
          <c:yVal>
            <c:numRef>
              <c:f>NoUnlockN471CP!$AA$20</c:f>
              <c:numCache>
                <c:formatCode>#,##0.0</c:formatCode>
                <c:ptCount val="1"/>
                <c:pt idx="0">
                  <c:v>1875.5</c:v>
                </c:pt>
              </c:numCache>
            </c:numRef>
          </c:yVal>
          <c:smooth val="0"/>
          <c:extLst>
            <c:ext xmlns:c16="http://schemas.microsoft.com/office/drawing/2014/chart" uri="{C3380CC4-5D6E-409C-BE32-E72D297353CC}">
              <c16:uniqueId val="{00000000-AD1E-4778-968D-9EDD68CDE076}"/>
            </c:ext>
          </c:extLst>
        </c:ser>
        <c:ser>
          <c:idx val="1"/>
          <c:order val="1"/>
          <c:tx>
            <c:v>Landing</c:v>
          </c:tx>
          <c:spPr>
            <a:ln w="28575">
              <a:noFill/>
            </a:ln>
          </c:spPr>
          <c:marker>
            <c:symbol val="circle"/>
            <c:size val="10"/>
            <c:spPr>
              <a:solidFill>
                <a:srgbClr val="C0C0C0"/>
              </a:solidFill>
              <a:ln>
                <a:solidFill>
                  <a:srgbClr val="C0C0C0"/>
                </a:solidFill>
                <a:prstDash val="solid"/>
              </a:ln>
            </c:spPr>
          </c:marker>
          <c:dLbls>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NoUnlockN471CP!$AE$44</c:f>
              <c:numCache>
                <c:formatCode>#,##0.0</c:formatCode>
                <c:ptCount val="1"/>
                <c:pt idx="0">
                  <c:v>36.461604905358577</c:v>
                </c:pt>
              </c:numCache>
            </c:numRef>
          </c:xVal>
          <c:yVal>
            <c:numRef>
              <c:f>NoUnlockN471CP!$AA$44</c:f>
              <c:numCache>
                <c:formatCode>#,##0.0</c:formatCode>
                <c:ptCount val="1"/>
                <c:pt idx="0">
                  <c:v>1875.5</c:v>
                </c:pt>
              </c:numCache>
            </c:numRef>
          </c:yVal>
          <c:smooth val="0"/>
          <c:extLst>
            <c:ext xmlns:c16="http://schemas.microsoft.com/office/drawing/2014/chart" uri="{C3380CC4-5D6E-409C-BE32-E72D297353CC}">
              <c16:uniqueId val="{00000001-AD1E-4778-968D-9EDD68CDE076}"/>
            </c:ext>
          </c:extLst>
        </c:ser>
        <c:dLbls>
          <c:showLegendKey val="0"/>
          <c:showVal val="0"/>
          <c:showCatName val="0"/>
          <c:showSerName val="1"/>
          <c:showPercent val="0"/>
          <c:showBubbleSize val="0"/>
        </c:dLbls>
        <c:axId val="133277952"/>
        <c:axId val="133287936"/>
      </c:scatterChart>
      <c:valAx>
        <c:axId val="133277952"/>
        <c:scaling>
          <c:orientation val="minMax"/>
          <c:max val="50"/>
          <c:min val="32"/>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Narrow" pitchFamily="34" charset="0"/>
                <a:ea typeface="Arial"/>
                <a:cs typeface="Arial"/>
              </a:defRPr>
            </a:pPr>
            <a:endParaRPr lang="en-US"/>
          </a:p>
        </c:txPr>
        <c:crossAx val="133287936"/>
        <c:crosses val="autoZero"/>
        <c:crossBetween val="midCat"/>
        <c:majorUnit val="1"/>
        <c:minorUnit val="1"/>
      </c:valAx>
      <c:valAx>
        <c:axId val="133287936"/>
        <c:scaling>
          <c:orientation val="minMax"/>
          <c:max val="3200"/>
          <c:min val="18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277952"/>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N493CP!$AE$20</c:f>
              <c:numCache>
                <c:formatCode>#,##0.0</c:formatCode>
                <c:ptCount val="1"/>
                <c:pt idx="0">
                  <c:v>40.583609271523187</c:v>
                </c:pt>
              </c:numCache>
            </c:numRef>
          </c:xVal>
          <c:yVal>
            <c:numRef>
              <c:f>N493CP!$AA$20</c:f>
              <c:numCache>
                <c:formatCode>#,##0.0</c:formatCode>
                <c:ptCount val="1"/>
                <c:pt idx="0">
                  <c:v>2416</c:v>
                </c:pt>
              </c:numCache>
            </c:numRef>
          </c:yVal>
          <c:smooth val="0"/>
          <c:extLst>
            <c:ext xmlns:c16="http://schemas.microsoft.com/office/drawing/2014/chart" uri="{C3380CC4-5D6E-409C-BE32-E72D297353CC}">
              <c16:uniqueId val="{00000000-6D79-45C9-BF69-D3491B1491AA}"/>
            </c:ext>
          </c:extLst>
        </c:ser>
        <c:ser>
          <c:idx val="1"/>
          <c:order val="1"/>
          <c:tx>
            <c:v>Landing</c:v>
          </c:tx>
          <c:spPr>
            <a:ln w="28575">
              <a:noFill/>
            </a:ln>
          </c:spPr>
          <c:marker>
            <c:symbol val="circle"/>
            <c:size val="10"/>
            <c:spPr>
              <a:solidFill>
                <a:srgbClr val="92D050"/>
              </a:solidFill>
              <a:ln>
                <a:solidFill>
                  <a:srgbClr val="C0C0C0"/>
                </a:solidFill>
                <a:prstDash val="solid"/>
              </a:ln>
            </c:spPr>
          </c:marker>
          <c:dLbls>
            <c:dLbl>
              <c:idx val="0"/>
              <c:spPr>
                <a:noFill/>
                <a:ln w="25400">
                  <a:noFill/>
                </a:ln>
              </c:spPr>
              <c:txPr>
                <a:bodyPr/>
                <a:lstStyle/>
                <a:p>
                  <a:pPr>
                    <a:defRPr sz="800" b="0" i="0" u="none" strike="noStrike" baseline="0">
                      <a:solidFill>
                        <a:schemeClr val="tx1">
                          <a:lumMod val="95000"/>
                          <a:lumOff val="5000"/>
                        </a:schemeClr>
                      </a:solidFill>
                      <a:latin typeface="Arial"/>
                      <a:ea typeface="Arial"/>
                      <a:cs typeface="Arial"/>
                    </a:defRPr>
                  </a:pPr>
                  <a:endParaRPr lang="en-US"/>
                </a:p>
              </c:txPr>
              <c:showLegendKey val="0"/>
              <c:showVal val="0"/>
              <c:showCatName val="0"/>
              <c:showSerName val="1"/>
              <c:showPercent val="0"/>
              <c:showBubbleSize val="0"/>
              <c:extLst>
                <c:ext xmlns:c16="http://schemas.microsoft.com/office/drawing/2014/chart" uri="{C3380CC4-5D6E-409C-BE32-E72D297353CC}">
                  <c16:uniqueId val="{00000001-6D79-45C9-BF69-D3491B1491AA}"/>
                </c:ext>
              </c:extLst>
            </c:dLbl>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N493CP!$AE$44</c:f>
              <c:numCache>
                <c:formatCode>#,##0.0</c:formatCode>
                <c:ptCount val="1"/>
                <c:pt idx="0">
                  <c:v>40.583609271523187</c:v>
                </c:pt>
              </c:numCache>
            </c:numRef>
          </c:xVal>
          <c:yVal>
            <c:numRef>
              <c:f>N493CP!$AA$44</c:f>
              <c:numCache>
                <c:formatCode>#,##0.0</c:formatCode>
                <c:ptCount val="1"/>
                <c:pt idx="0">
                  <c:v>2416</c:v>
                </c:pt>
              </c:numCache>
            </c:numRef>
          </c:yVal>
          <c:smooth val="0"/>
          <c:extLst>
            <c:ext xmlns:c16="http://schemas.microsoft.com/office/drawing/2014/chart" uri="{C3380CC4-5D6E-409C-BE32-E72D297353CC}">
              <c16:uniqueId val="{00000002-6D79-45C9-BF69-D3491B1491AA}"/>
            </c:ext>
          </c:extLst>
        </c:ser>
        <c:dLbls>
          <c:showLegendKey val="0"/>
          <c:showVal val="0"/>
          <c:showCatName val="0"/>
          <c:showSerName val="1"/>
          <c:showPercent val="0"/>
          <c:showBubbleSize val="0"/>
        </c:dLbls>
        <c:axId val="133670784"/>
        <c:axId val="133672320"/>
      </c:scatterChart>
      <c:valAx>
        <c:axId val="133670784"/>
        <c:scaling>
          <c:orientation val="minMax"/>
          <c:max val="47"/>
          <c:min val="32"/>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672320"/>
        <c:crosses val="autoZero"/>
        <c:crossBetween val="midCat"/>
        <c:majorUnit val="1"/>
        <c:minorUnit val="1"/>
      </c:valAx>
      <c:valAx>
        <c:axId val="133672320"/>
        <c:scaling>
          <c:orientation val="minMax"/>
          <c:max val="3200"/>
          <c:min val="18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670784"/>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x182CP!$AE$20</c:f>
              <c:numCache>
                <c:formatCode>#,##0.0</c:formatCode>
                <c:ptCount val="1"/>
                <c:pt idx="0">
                  <c:v>40.664287010458949</c:v>
                </c:pt>
              </c:numCache>
            </c:numRef>
          </c:xVal>
          <c:yVal>
            <c:numRef>
              <c:f>x182CP!$AA$20</c:f>
              <c:numCache>
                <c:formatCode>#,##0.0</c:formatCode>
                <c:ptCount val="1"/>
                <c:pt idx="0">
                  <c:v>2424.7199999999998</c:v>
                </c:pt>
              </c:numCache>
            </c:numRef>
          </c:yVal>
          <c:smooth val="0"/>
          <c:extLst>
            <c:ext xmlns:c16="http://schemas.microsoft.com/office/drawing/2014/chart" uri="{C3380CC4-5D6E-409C-BE32-E72D297353CC}">
              <c16:uniqueId val="{00000000-650C-4A72-B792-54FFF4DC6104}"/>
            </c:ext>
          </c:extLst>
        </c:ser>
        <c:ser>
          <c:idx val="1"/>
          <c:order val="1"/>
          <c:tx>
            <c:v>Landing</c:v>
          </c:tx>
          <c:spPr>
            <a:ln w="28575">
              <a:noFill/>
            </a:ln>
          </c:spPr>
          <c:marker>
            <c:symbol val="circle"/>
            <c:size val="10"/>
            <c:spPr>
              <a:solidFill>
                <a:srgbClr val="92D050"/>
              </a:solidFill>
              <a:ln>
                <a:solidFill>
                  <a:srgbClr val="C0C0C0"/>
                </a:solidFill>
                <a:prstDash val="solid"/>
              </a:ln>
            </c:spPr>
          </c:marker>
          <c:dLbls>
            <c:dLbl>
              <c:idx val="0"/>
              <c:spPr>
                <a:noFill/>
                <a:ln w="25400">
                  <a:noFill/>
                </a:ln>
              </c:spPr>
              <c:txPr>
                <a:bodyPr/>
                <a:lstStyle/>
                <a:p>
                  <a:pPr>
                    <a:defRPr sz="800" b="0" i="0" u="none" strike="noStrike" baseline="0">
                      <a:solidFill>
                        <a:schemeClr val="tx1">
                          <a:lumMod val="95000"/>
                          <a:lumOff val="5000"/>
                        </a:schemeClr>
                      </a:solidFill>
                      <a:latin typeface="Arial"/>
                      <a:ea typeface="Arial"/>
                      <a:cs typeface="Arial"/>
                    </a:defRPr>
                  </a:pPr>
                  <a:endParaRPr lang="en-US"/>
                </a:p>
              </c:txPr>
              <c:showLegendKey val="0"/>
              <c:showVal val="0"/>
              <c:showCatName val="0"/>
              <c:showSerName val="1"/>
              <c:showPercent val="0"/>
              <c:showBubbleSize val="0"/>
              <c:extLst>
                <c:ext xmlns:c16="http://schemas.microsoft.com/office/drawing/2014/chart" uri="{C3380CC4-5D6E-409C-BE32-E72D297353CC}">
                  <c16:uniqueId val="{00000001-650C-4A72-B792-54FFF4DC6104}"/>
                </c:ext>
              </c:extLst>
            </c:dLbl>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x182CP!$AE$44</c:f>
              <c:numCache>
                <c:formatCode>#,##0.0</c:formatCode>
                <c:ptCount val="1"/>
                <c:pt idx="0">
                  <c:v>40.664287010458949</c:v>
                </c:pt>
              </c:numCache>
            </c:numRef>
          </c:xVal>
          <c:yVal>
            <c:numRef>
              <c:f>x182CP!$AA$44</c:f>
              <c:numCache>
                <c:formatCode>#,##0.0</c:formatCode>
                <c:ptCount val="1"/>
                <c:pt idx="0">
                  <c:v>2424.7199999999998</c:v>
                </c:pt>
              </c:numCache>
            </c:numRef>
          </c:yVal>
          <c:smooth val="0"/>
          <c:extLst>
            <c:ext xmlns:c16="http://schemas.microsoft.com/office/drawing/2014/chart" uri="{C3380CC4-5D6E-409C-BE32-E72D297353CC}">
              <c16:uniqueId val="{00000002-650C-4A72-B792-54FFF4DC6104}"/>
            </c:ext>
          </c:extLst>
        </c:ser>
        <c:dLbls>
          <c:showLegendKey val="0"/>
          <c:showVal val="0"/>
          <c:showCatName val="0"/>
          <c:showSerName val="1"/>
          <c:showPercent val="0"/>
          <c:showBubbleSize val="0"/>
        </c:dLbls>
        <c:axId val="134147456"/>
        <c:axId val="134509696"/>
      </c:scatterChart>
      <c:valAx>
        <c:axId val="134147456"/>
        <c:scaling>
          <c:orientation val="minMax"/>
          <c:max val="47"/>
          <c:min val="32"/>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4509696"/>
        <c:crosses val="autoZero"/>
        <c:crossBetween val="midCat"/>
        <c:majorUnit val="1"/>
        <c:minorUnit val="1"/>
      </c:valAx>
      <c:valAx>
        <c:axId val="134509696"/>
        <c:scaling>
          <c:orientation val="minMax"/>
          <c:max val="3200"/>
          <c:min val="1800"/>
        </c:scaling>
        <c:delete val="0"/>
        <c:axPos val="l"/>
        <c:majorGridlines>
          <c:spPr>
            <a:ln w="3175">
              <a:solidFill>
                <a:schemeClr val="bg1">
                  <a:lumMod val="50000"/>
                </a:schemeClr>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4147456"/>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7222410602699164E-2"/>
          <c:w val="0.8297880177368101"/>
          <c:h val="0.8531762563094013"/>
        </c:manualLayout>
      </c:layout>
      <c:scatterChart>
        <c:scatterStyle val="lineMarker"/>
        <c:varyColors val="0"/>
        <c:ser>
          <c:idx val="1"/>
          <c:order val="0"/>
          <c:tx>
            <c:v>Landing</c:v>
          </c:tx>
          <c:spPr>
            <a:ln w="28575">
              <a:noFill/>
            </a:ln>
          </c:spPr>
          <c:marker>
            <c:symbol val="circle"/>
            <c:size val="10"/>
            <c:spPr>
              <a:solidFill>
                <a:srgbClr val="99CC00"/>
              </a:solidFill>
              <a:ln>
                <a:solidFill>
                  <a:srgbClr val="99CC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N471CP!$AG$42</c:f>
              <c:numCache>
                <c:formatCode>#,##0.0</c:formatCode>
                <c:ptCount val="1"/>
                <c:pt idx="0">
                  <c:v>53.039893395519272</c:v>
                </c:pt>
              </c:numCache>
            </c:numRef>
          </c:xVal>
          <c:yVal>
            <c:numRef>
              <c:f>N471CP!$AC$42</c:f>
              <c:numCache>
                <c:formatCode>#,##0.0</c:formatCode>
                <c:ptCount val="1"/>
                <c:pt idx="0">
                  <c:v>2401.4</c:v>
                </c:pt>
              </c:numCache>
            </c:numRef>
          </c:yVal>
          <c:smooth val="0"/>
          <c:extLst>
            <c:ext xmlns:c16="http://schemas.microsoft.com/office/drawing/2014/chart" uri="{C3380CC4-5D6E-409C-BE32-E72D297353CC}">
              <c16:uniqueId val="{00000000-D399-47EC-851F-1D144897D250}"/>
            </c:ext>
          </c:extLst>
        </c:ser>
        <c:ser>
          <c:idx val="0"/>
          <c:order val="1"/>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N471CP!$AG$18</c:f>
              <c:numCache>
                <c:formatCode>#,##0.0</c:formatCode>
                <c:ptCount val="1"/>
                <c:pt idx="0">
                  <c:v>53.039893395519272</c:v>
                </c:pt>
              </c:numCache>
            </c:numRef>
          </c:xVal>
          <c:yVal>
            <c:numRef>
              <c:f>N471CP!$AC$18</c:f>
              <c:numCache>
                <c:formatCode>#,##0.0</c:formatCode>
                <c:ptCount val="1"/>
                <c:pt idx="0">
                  <c:v>2401.4</c:v>
                </c:pt>
              </c:numCache>
            </c:numRef>
          </c:yVal>
          <c:smooth val="0"/>
          <c:extLst>
            <c:ext xmlns:c16="http://schemas.microsoft.com/office/drawing/2014/chart" uri="{C3380CC4-5D6E-409C-BE32-E72D297353CC}">
              <c16:uniqueId val="{00000001-D399-47EC-851F-1D144897D250}"/>
            </c:ext>
          </c:extLst>
        </c:ser>
        <c:dLbls>
          <c:showLegendKey val="0"/>
          <c:showVal val="0"/>
          <c:showCatName val="0"/>
          <c:showSerName val="1"/>
          <c:showPercent val="0"/>
          <c:showBubbleSize val="0"/>
        </c:dLbls>
        <c:axId val="143311232"/>
        <c:axId val="143312768"/>
      </c:scatterChart>
      <c:valAx>
        <c:axId val="143311232"/>
        <c:scaling>
          <c:orientation val="minMax"/>
          <c:max val="65"/>
          <c:min val="47"/>
        </c:scaling>
        <c:delete val="0"/>
        <c:axPos val="b"/>
        <c:majorGridlines>
          <c:spPr>
            <a:ln w="12700">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3312768"/>
        <c:crosses val="autoZero"/>
        <c:crossBetween val="midCat"/>
        <c:majorUnit val="1"/>
        <c:minorUnit val="1"/>
      </c:valAx>
      <c:valAx>
        <c:axId val="143312768"/>
        <c:scaling>
          <c:orientation val="minMax"/>
          <c:max val="4100"/>
          <c:min val="2100"/>
        </c:scaling>
        <c:delete val="0"/>
        <c:axPos val="l"/>
        <c:majorGridlines>
          <c:spPr>
            <a:ln w="12700">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3311232"/>
        <c:crossesAt val="1"/>
        <c:crossBetween val="midCat"/>
        <c:majorUnit val="10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7222410602699164E-2"/>
          <c:w val="0.8297880177368101"/>
          <c:h val="0.8531762563094013"/>
        </c:manualLayout>
      </c:layout>
      <c:scatterChart>
        <c:scatterStyle val="lineMarker"/>
        <c:varyColors val="0"/>
        <c:ser>
          <c:idx val="1"/>
          <c:order val="0"/>
          <c:tx>
            <c:v>Landing</c:v>
          </c:tx>
          <c:spPr>
            <a:ln w="28575">
              <a:noFill/>
            </a:ln>
          </c:spPr>
          <c:marker>
            <c:symbol val="circle"/>
            <c:size val="10"/>
            <c:spPr>
              <a:solidFill>
                <a:srgbClr val="99CC00"/>
              </a:solidFill>
              <a:ln>
                <a:solidFill>
                  <a:srgbClr val="99CC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GA8N470CP!$AG$42</c:f>
              <c:numCache>
                <c:formatCode>#,##0.0</c:formatCode>
                <c:ptCount val="1"/>
                <c:pt idx="0">
                  <c:v>54.826952501050854</c:v>
                </c:pt>
              </c:numCache>
            </c:numRef>
          </c:xVal>
          <c:yVal>
            <c:numRef>
              <c:f>GA8N470CP!$AC$42</c:f>
              <c:numCache>
                <c:formatCode>#,##0.0</c:formatCode>
                <c:ptCount val="1"/>
                <c:pt idx="0">
                  <c:v>2379</c:v>
                </c:pt>
              </c:numCache>
            </c:numRef>
          </c:yVal>
          <c:smooth val="0"/>
          <c:extLst>
            <c:ext xmlns:c16="http://schemas.microsoft.com/office/drawing/2014/chart" uri="{C3380CC4-5D6E-409C-BE32-E72D297353CC}">
              <c16:uniqueId val="{00000000-D0E1-4F32-A9E1-B3B962D3A503}"/>
            </c:ext>
          </c:extLst>
        </c:ser>
        <c:ser>
          <c:idx val="0"/>
          <c:order val="1"/>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GA8N470CP!$AG$18</c:f>
              <c:numCache>
                <c:formatCode>#,##0.0</c:formatCode>
                <c:ptCount val="1"/>
                <c:pt idx="0">
                  <c:v>54.826952501050854</c:v>
                </c:pt>
              </c:numCache>
            </c:numRef>
          </c:xVal>
          <c:yVal>
            <c:numRef>
              <c:f>GA8N470CP!$AC$18</c:f>
              <c:numCache>
                <c:formatCode>#,##0.0</c:formatCode>
                <c:ptCount val="1"/>
                <c:pt idx="0">
                  <c:v>2379</c:v>
                </c:pt>
              </c:numCache>
            </c:numRef>
          </c:yVal>
          <c:smooth val="0"/>
          <c:extLst>
            <c:ext xmlns:c16="http://schemas.microsoft.com/office/drawing/2014/chart" uri="{C3380CC4-5D6E-409C-BE32-E72D297353CC}">
              <c16:uniqueId val="{00000001-D0E1-4F32-A9E1-B3B962D3A503}"/>
            </c:ext>
          </c:extLst>
        </c:ser>
        <c:dLbls>
          <c:showLegendKey val="0"/>
          <c:showVal val="0"/>
          <c:showCatName val="0"/>
          <c:showSerName val="1"/>
          <c:showPercent val="0"/>
          <c:showBubbleSize val="0"/>
        </c:dLbls>
        <c:axId val="144177792"/>
        <c:axId val="144054912"/>
      </c:scatterChart>
      <c:valAx>
        <c:axId val="144177792"/>
        <c:scaling>
          <c:orientation val="minMax"/>
          <c:max val="65"/>
          <c:min val="47"/>
        </c:scaling>
        <c:delete val="0"/>
        <c:axPos val="b"/>
        <c:majorGridlines>
          <c:spPr>
            <a:ln w="12700">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4054912"/>
        <c:crosses val="autoZero"/>
        <c:crossBetween val="midCat"/>
        <c:majorUnit val="1"/>
        <c:minorUnit val="1"/>
      </c:valAx>
      <c:valAx>
        <c:axId val="144054912"/>
        <c:scaling>
          <c:orientation val="minMax"/>
          <c:max val="4100"/>
          <c:min val="2100"/>
        </c:scaling>
        <c:delete val="0"/>
        <c:axPos val="l"/>
        <c:majorGridlines>
          <c:spPr>
            <a:ln w="12700">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4177792"/>
        <c:crossesAt val="1"/>
        <c:crossBetween val="midCat"/>
        <c:majorUnit val="10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N697CP!$AE$20</c:f>
              <c:numCache>
                <c:formatCode>#,##0.0</c:formatCode>
                <c:ptCount val="1"/>
                <c:pt idx="0">
                  <c:v>42.226676710026936</c:v>
                </c:pt>
              </c:numCache>
            </c:numRef>
          </c:xVal>
          <c:yVal>
            <c:numRef>
              <c:f>N697CP!$AA$20</c:f>
              <c:numCache>
                <c:formatCode>#,##0.0</c:formatCode>
                <c:ptCount val="1"/>
                <c:pt idx="0">
                  <c:v>1725.85</c:v>
                </c:pt>
              </c:numCache>
            </c:numRef>
          </c:yVal>
          <c:smooth val="0"/>
          <c:extLst>
            <c:ext xmlns:c16="http://schemas.microsoft.com/office/drawing/2014/chart" uri="{C3380CC4-5D6E-409C-BE32-E72D297353CC}">
              <c16:uniqueId val="{00000000-4C79-4B63-8AF9-0EBC4596D3C8}"/>
            </c:ext>
          </c:extLst>
        </c:ser>
        <c:ser>
          <c:idx val="1"/>
          <c:order val="1"/>
          <c:tx>
            <c:v>Landing</c:v>
          </c:tx>
          <c:spPr>
            <a:ln w="28575">
              <a:noFill/>
            </a:ln>
          </c:spPr>
          <c:marker>
            <c:symbol val="circle"/>
            <c:size val="10"/>
            <c:spPr>
              <a:solidFill>
                <a:srgbClr val="C0C0C0"/>
              </a:solidFill>
              <a:ln>
                <a:solidFill>
                  <a:srgbClr val="C0C0C0"/>
                </a:solidFill>
                <a:prstDash val="solid"/>
              </a:ln>
            </c:spPr>
          </c:marker>
          <c:dLbls>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N697CP!$AE$44</c:f>
              <c:numCache>
                <c:formatCode>#,##0.0</c:formatCode>
                <c:ptCount val="1"/>
                <c:pt idx="0">
                  <c:v>42.226676710026936</c:v>
                </c:pt>
              </c:numCache>
            </c:numRef>
          </c:xVal>
          <c:yVal>
            <c:numRef>
              <c:f>N697CP!$AA$44</c:f>
              <c:numCache>
                <c:formatCode>#,##0.0</c:formatCode>
                <c:ptCount val="1"/>
                <c:pt idx="0">
                  <c:v>1725.85</c:v>
                </c:pt>
              </c:numCache>
            </c:numRef>
          </c:yVal>
          <c:smooth val="0"/>
          <c:extLst>
            <c:ext xmlns:c16="http://schemas.microsoft.com/office/drawing/2014/chart" uri="{C3380CC4-5D6E-409C-BE32-E72D297353CC}">
              <c16:uniqueId val="{00000001-4C79-4B63-8AF9-0EBC4596D3C8}"/>
            </c:ext>
          </c:extLst>
        </c:ser>
        <c:dLbls>
          <c:showLegendKey val="0"/>
          <c:showVal val="0"/>
          <c:showCatName val="0"/>
          <c:showSerName val="1"/>
          <c:showPercent val="0"/>
          <c:showBubbleSize val="0"/>
        </c:dLbls>
        <c:axId val="105307520"/>
        <c:axId val="105239680"/>
      </c:scatterChart>
      <c:valAx>
        <c:axId val="105307520"/>
        <c:scaling>
          <c:orientation val="minMax"/>
          <c:max val="48"/>
          <c:min val="34"/>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5239680"/>
        <c:crosses val="autoZero"/>
        <c:crossBetween val="midCat"/>
        <c:majorUnit val="1"/>
        <c:minorUnit val="1"/>
      </c:valAx>
      <c:valAx>
        <c:axId val="105239680"/>
        <c:scaling>
          <c:orientation val="minMax"/>
          <c:max val="2600"/>
          <c:min val="15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5307520"/>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'NoUnlockCAP 1240'!$AE$20</c:f>
              <c:numCache>
                <c:formatCode>#,##0.0</c:formatCode>
                <c:ptCount val="1"/>
                <c:pt idx="0">
                  <c:v>37.804974651457542</c:v>
                </c:pt>
              </c:numCache>
            </c:numRef>
          </c:xVal>
          <c:yVal>
            <c:numRef>
              <c:f>'NoUnlockCAP 1240'!$AA$20</c:f>
              <c:numCache>
                <c:formatCode>#,##0.0</c:formatCode>
                <c:ptCount val="1"/>
                <c:pt idx="0">
                  <c:v>1578</c:v>
                </c:pt>
              </c:numCache>
            </c:numRef>
          </c:yVal>
          <c:smooth val="0"/>
          <c:extLst>
            <c:ext xmlns:c16="http://schemas.microsoft.com/office/drawing/2014/chart" uri="{C3380CC4-5D6E-409C-BE32-E72D297353CC}">
              <c16:uniqueId val="{00000000-0F50-464F-8845-B2403B51159D}"/>
            </c:ext>
          </c:extLst>
        </c:ser>
        <c:ser>
          <c:idx val="1"/>
          <c:order val="1"/>
          <c:tx>
            <c:v>Landing</c:v>
          </c:tx>
          <c:spPr>
            <a:ln w="28575">
              <a:noFill/>
            </a:ln>
          </c:spPr>
          <c:marker>
            <c:symbol val="circle"/>
            <c:size val="10"/>
            <c:spPr>
              <a:solidFill>
                <a:srgbClr val="C0C0C0"/>
              </a:solidFill>
              <a:ln>
                <a:solidFill>
                  <a:srgbClr val="C0C0C0"/>
                </a:solidFill>
                <a:prstDash val="solid"/>
              </a:ln>
            </c:spPr>
          </c:marker>
          <c:dLbls>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'NoUnlockCAP 1240'!$AE$44</c:f>
              <c:numCache>
                <c:formatCode>#,##0.0</c:formatCode>
                <c:ptCount val="1"/>
                <c:pt idx="0">
                  <c:v>37.804974651457542</c:v>
                </c:pt>
              </c:numCache>
            </c:numRef>
          </c:xVal>
          <c:yVal>
            <c:numRef>
              <c:f>'NoUnlockCAP 1240'!$AA$44</c:f>
              <c:numCache>
                <c:formatCode>#,##0.0</c:formatCode>
                <c:ptCount val="1"/>
                <c:pt idx="0">
                  <c:v>1578</c:v>
                </c:pt>
              </c:numCache>
            </c:numRef>
          </c:yVal>
          <c:smooth val="0"/>
          <c:extLst>
            <c:ext xmlns:c16="http://schemas.microsoft.com/office/drawing/2014/chart" uri="{C3380CC4-5D6E-409C-BE32-E72D297353CC}">
              <c16:uniqueId val="{00000001-0F50-464F-8845-B2403B51159D}"/>
            </c:ext>
          </c:extLst>
        </c:ser>
        <c:dLbls>
          <c:showLegendKey val="0"/>
          <c:showVal val="0"/>
          <c:showCatName val="0"/>
          <c:showSerName val="1"/>
          <c:showPercent val="0"/>
          <c:showBubbleSize val="0"/>
        </c:dLbls>
        <c:axId val="128127744"/>
        <c:axId val="128129280"/>
      </c:scatterChart>
      <c:valAx>
        <c:axId val="128127744"/>
        <c:scaling>
          <c:orientation val="minMax"/>
          <c:max val="48"/>
          <c:min val="34"/>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8129280"/>
        <c:crosses val="autoZero"/>
        <c:crossBetween val="midCat"/>
        <c:majorUnit val="1"/>
        <c:minorUnit val="1"/>
      </c:valAx>
      <c:valAx>
        <c:axId val="128129280"/>
        <c:scaling>
          <c:orientation val="minMax"/>
          <c:max val="2600"/>
          <c:min val="15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8127744"/>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Empty172!$AE$20</c:f>
              <c:numCache>
                <c:formatCode>#,##0.0</c:formatCode>
                <c:ptCount val="1"/>
                <c:pt idx="0">
                  <c:v>39.691483813834502</c:v>
                </c:pt>
              </c:numCache>
            </c:numRef>
          </c:xVal>
          <c:yVal>
            <c:numRef>
              <c:f>Empty172!$AA$20</c:f>
              <c:numCache>
                <c:formatCode>#,##0.0</c:formatCode>
                <c:ptCount val="1"/>
                <c:pt idx="0">
                  <c:v>2032.6</c:v>
                </c:pt>
              </c:numCache>
            </c:numRef>
          </c:yVal>
          <c:smooth val="0"/>
          <c:extLst>
            <c:ext xmlns:c16="http://schemas.microsoft.com/office/drawing/2014/chart" uri="{C3380CC4-5D6E-409C-BE32-E72D297353CC}">
              <c16:uniqueId val="{00000000-388F-46E4-A812-412D71FC5109}"/>
            </c:ext>
          </c:extLst>
        </c:ser>
        <c:ser>
          <c:idx val="1"/>
          <c:order val="1"/>
          <c:tx>
            <c:v>Landing</c:v>
          </c:tx>
          <c:spPr>
            <a:ln w="28575">
              <a:noFill/>
            </a:ln>
          </c:spPr>
          <c:marker>
            <c:symbol val="circle"/>
            <c:size val="10"/>
            <c:spPr>
              <a:solidFill>
                <a:srgbClr val="C0C0C0"/>
              </a:solidFill>
              <a:ln>
                <a:solidFill>
                  <a:srgbClr val="C0C0C0"/>
                </a:solidFill>
                <a:prstDash val="solid"/>
              </a:ln>
            </c:spPr>
          </c:marker>
          <c:dLbls>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Empty172!$AE$44</c:f>
              <c:numCache>
                <c:formatCode>#,##0.0</c:formatCode>
                <c:ptCount val="1"/>
                <c:pt idx="0">
                  <c:v>39.691483813834502</c:v>
                </c:pt>
              </c:numCache>
            </c:numRef>
          </c:xVal>
          <c:yVal>
            <c:numRef>
              <c:f>Empty172!$AA$44</c:f>
              <c:numCache>
                <c:formatCode>#,##0.0</c:formatCode>
                <c:ptCount val="1"/>
                <c:pt idx="0">
                  <c:v>2032.6</c:v>
                </c:pt>
              </c:numCache>
            </c:numRef>
          </c:yVal>
          <c:smooth val="0"/>
          <c:extLst>
            <c:ext xmlns:c16="http://schemas.microsoft.com/office/drawing/2014/chart" uri="{C3380CC4-5D6E-409C-BE32-E72D297353CC}">
              <c16:uniqueId val="{00000001-388F-46E4-A812-412D71FC5109}"/>
            </c:ext>
          </c:extLst>
        </c:ser>
        <c:dLbls>
          <c:showLegendKey val="0"/>
          <c:showVal val="0"/>
          <c:showCatName val="0"/>
          <c:showSerName val="1"/>
          <c:showPercent val="0"/>
          <c:showBubbleSize val="0"/>
        </c:dLbls>
        <c:axId val="128755584"/>
        <c:axId val="128756352"/>
      </c:scatterChart>
      <c:valAx>
        <c:axId val="128755584"/>
        <c:scaling>
          <c:orientation val="minMax"/>
          <c:max val="48"/>
          <c:min val="34"/>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8756352"/>
        <c:crosses val="autoZero"/>
        <c:crossBetween val="midCat"/>
        <c:majorUnit val="1"/>
        <c:minorUnit val="1"/>
      </c:valAx>
      <c:valAx>
        <c:axId val="128756352"/>
        <c:scaling>
          <c:orientation val="minMax"/>
          <c:max val="2600"/>
          <c:min val="15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8755584"/>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N990CP!$AE$20</c:f>
              <c:numCache>
                <c:formatCode>#,##0.0</c:formatCode>
                <c:ptCount val="1"/>
                <c:pt idx="0">
                  <c:v>39.866348533679961</c:v>
                </c:pt>
              </c:numCache>
            </c:numRef>
          </c:xVal>
          <c:yVal>
            <c:numRef>
              <c:f>N990CP!$AA$20</c:f>
              <c:numCache>
                <c:formatCode>#,##0.0</c:formatCode>
                <c:ptCount val="1"/>
                <c:pt idx="0">
                  <c:v>1684.83</c:v>
                </c:pt>
              </c:numCache>
            </c:numRef>
          </c:yVal>
          <c:smooth val="0"/>
          <c:extLst>
            <c:ext xmlns:c16="http://schemas.microsoft.com/office/drawing/2014/chart" uri="{C3380CC4-5D6E-409C-BE32-E72D297353CC}">
              <c16:uniqueId val="{00000000-E6BC-480B-ACE6-83FDD81BE487}"/>
            </c:ext>
          </c:extLst>
        </c:ser>
        <c:ser>
          <c:idx val="1"/>
          <c:order val="1"/>
          <c:tx>
            <c:v>Landing</c:v>
          </c:tx>
          <c:spPr>
            <a:ln w="28575">
              <a:noFill/>
            </a:ln>
          </c:spPr>
          <c:marker>
            <c:symbol val="circle"/>
            <c:size val="10"/>
            <c:spPr>
              <a:solidFill>
                <a:srgbClr val="C0C0C0"/>
              </a:solidFill>
              <a:ln>
                <a:solidFill>
                  <a:srgbClr val="C0C0C0"/>
                </a:solidFill>
                <a:prstDash val="solid"/>
              </a:ln>
            </c:spPr>
          </c:marker>
          <c:dLbls>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N990CP!$AE$44</c:f>
              <c:numCache>
                <c:formatCode>#,##0.0</c:formatCode>
                <c:ptCount val="1"/>
                <c:pt idx="0">
                  <c:v>39.866348533679961</c:v>
                </c:pt>
              </c:numCache>
            </c:numRef>
          </c:xVal>
          <c:yVal>
            <c:numRef>
              <c:f>N990CP!$AA$44</c:f>
              <c:numCache>
                <c:formatCode>#,##0.0</c:formatCode>
                <c:ptCount val="1"/>
                <c:pt idx="0">
                  <c:v>1684.83</c:v>
                </c:pt>
              </c:numCache>
            </c:numRef>
          </c:yVal>
          <c:smooth val="0"/>
          <c:extLst>
            <c:ext xmlns:c16="http://schemas.microsoft.com/office/drawing/2014/chart" uri="{C3380CC4-5D6E-409C-BE32-E72D297353CC}">
              <c16:uniqueId val="{00000001-E6BC-480B-ACE6-83FDD81BE487}"/>
            </c:ext>
          </c:extLst>
        </c:ser>
        <c:dLbls>
          <c:showLegendKey val="0"/>
          <c:showVal val="0"/>
          <c:showCatName val="0"/>
          <c:showSerName val="1"/>
          <c:showPercent val="0"/>
          <c:showBubbleSize val="0"/>
        </c:dLbls>
        <c:axId val="131606400"/>
        <c:axId val="131607936"/>
      </c:scatterChart>
      <c:valAx>
        <c:axId val="131606400"/>
        <c:scaling>
          <c:orientation val="minMax"/>
          <c:max val="48"/>
          <c:min val="34"/>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1607936"/>
        <c:crosses val="autoZero"/>
        <c:crossBetween val="midCat"/>
        <c:majorUnit val="1"/>
        <c:minorUnit val="1"/>
      </c:valAx>
      <c:valAx>
        <c:axId val="131607936"/>
        <c:scaling>
          <c:orientation val="minMax"/>
          <c:max val="2600"/>
          <c:min val="15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1606400"/>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N9433L!$AE$20</c:f>
              <c:numCache>
                <c:formatCode>#,##0.0</c:formatCode>
                <c:ptCount val="1"/>
                <c:pt idx="0">
                  <c:v>39.763853904282115</c:v>
                </c:pt>
              </c:numCache>
            </c:numRef>
          </c:xVal>
          <c:yVal>
            <c:numRef>
              <c:f>N9433L!$AA$20</c:f>
              <c:numCache>
                <c:formatCode>#,##0.0</c:formatCode>
                <c:ptCount val="1"/>
                <c:pt idx="0">
                  <c:v>1588</c:v>
                </c:pt>
              </c:numCache>
            </c:numRef>
          </c:yVal>
          <c:smooth val="0"/>
          <c:extLst>
            <c:ext xmlns:c16="http://schemas.microsoft.com/office/drawing/2014/chart" uri="{C3380CC4-5D6E-409C-BE32-E72D297353CC}">
              <c16:uniqueId val="{00000000-AC46-4394-80FC-4201D3BF821D}"/>
            </c:ext>
          </c:extLst>
        </c:ser>
        <c:ser>
          <c:idx val="1"/>
          <c:order val="1"/>
          <c:tx>
            <c:v>Landing</c:v>
          </c:tx>
          <c:spPr>
            <a:ln w="28575">
              <a:noFill/>
            </a:ln>
          </c:spPr>
          <c:marker>
            <c:symbol val="circle"/>
            <c:size val="10"/>
            <c:spPr>
              <a:solidFill>
                <a:srgbClr val="C0C0C0"/>
              </a:solidFill>
              <a:ln>
                <a:solidFill>
                  <a:srgbClr val="C0C0C0"/>
                </a:solidFill>
                <a:prstDash val="solid"/>
              </a:ln>
            </c:spPr>
          </c:marker>
          <c:dLbls>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N9433L!$AE$44</c:f>
              <c:numCache>
                <c:formatCode>#,##0.0</c:formatCode>
                <c:ptCount val="1"/>
                <c:pt idx="0">
                  <c:v>39.763853904282115</c:v>
                </c:pt>
              </c:numCache>
            </c:numRef>
          </c:xVal>
          <c:yVal>
            <c:numRef>
              <c:f>N9433L!$AA$44</c:f>
              <c:numCache>
                <c:formatCode>#,##0.0</c:formatCode>
                <c:ptCount val="1"/>
                <c:pt idx="0">
                  <c:v>1588</c:v>
                </c:pt>
              </c:numCache>
            </c:numRef>
          </c:yVal>
          <c:smooth val="0"/>
          <c:extLst>
            <c:ext xmlns:c16="http://schemas.microsoft.com/office/drawing/2014/chart" uri="{C3380CC4-5D6E-409C-BE32-E72D297353CC}">
              <c16:uniqueId val="{00000001-AC46-4394-80FC-4201D3BF821D}"/>
            </c:ext>
          </c:extLst>
        </c:ser>
        <c:dLbls>
          <c:showLegendKey val="0"/>
          <c:showVal val="0"/>
          <c:showCatName val="0"/>
          <c:showSerName val="1"/>
          <c:showPercent val="0"/>
          <c:showBubbleSize val="0"/>
        </c:dLbls>
        <c:axId val="128703488"/>
        <c:axId val="128709376"/>
      </c:scatterChart>
      <c:valAx>
        <c:axId val="128703488"/>
        <c:scaling>
          <c:orientation val="minMax"/>
          <c:max val="48"/>
          <c:min val="34"/>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8709376"/>
        <c:crosses val="autoZero"/>
        <c:crossBetween val="midCat"/>
        <c:majorUnit val="1"/>
        <c:minorUnit val="1"/>
      </c:valAx>
      <c:valAx>
        <c:axId val="128709376"/>
        <c:scaling>
          <c:orientation val="minMax"/>
          <c:max val="2600"/>
          <c:min val="15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8703488"/>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N237CP!$AE$20</c:f>
              <c:numCache>
                <c:formatCode>#,##0.0</c:formatCode>
                <c:ptCount val="1"/>
                <c:pt idx="0">
                  <c:v>40.033031970049684</c:v>
                </c:pt>
              </c:numCache>
            </c:numRef>
          </c:xVal>
          <c:yVal>
            <c:numRef>
              <c:f>N237CP!$AA$20</c:f>
              <c:numCache>
                <c:formatCode>#,##0.0</c:formatCode>
                <c:ptCount val="1"/>
                <c:pt idx="0">
                  <c:v>2401.31</c:v>
                </c:pt>
              </c:numCache>
            </c:numRef>
          </c:yVal>
          <c:smooth val="0"/>
          <c:extLst>
            <c:ext xmlns:c16="http://schemas.microsoft.com/office/drawing/2014/chart" uri="{C3380CC4-5D6E-409C-BE32-E72D297353CC}">
              <c16:uniqueId val="{00000000-865A-46EF-A1E9-E648F3D4FD64}"/>
            </c:ext>
          </c:extLst>
        </c:ser>
        <c:ser>
          <c:idx val="1"/>
          <c:order val="1"/>
          <c:tx>
            <c:v>Landing</c:v>
          </c:tx>
          <c:spPr>
            <a:ln w="28575">
              <a:noFill/>
            </a:ln>
          </c:spPr>
          <c:marker>
            <c:symbol val="circle"/>
            <c:size val="10"/>
            <c:spPr>
              <a:solidFill>
                <a:srgbClr val="92D050"/>
              </a:solidFill>
              <a:ln>
                <a:solidFill>
                  <a:srgbClr val="C0C0C0"/>
                </a:solidFill>
                <a:prstDash val="solid"/>
              </a:ln>
            </c:spPr>
          </c:marker>
          <c:dLbls>
            <c:dLbl>
              <c:idx val="0"/>
              <c:spPr>
                <a:noFill/>
                <a:ln w="25400">
                  <a:noFill/>
                </a:ln>
              </c:spPr>
              <c:txPr>
                <a:bodyPr/>
                <a:lstStyle/>
                <a:p>
                  <a:pPr>
                    <a:defRPr sz="800" b="0" i="0" u="none" strike="noStrike" baseline="0">
                      <a:solidFill>
                        <a:schemeClr val="tx1">
                          <a:lumMod val="95000"/>
                          <a:lumOff val="5000"/>
                        </a:schemeClr>
                      </a:solidFill>
                      <a:latin typeface="Arial"/>
                      <a:ea typeface="Arial"/>
                      <a:cs typeface="Arial"/>
                    </a:defRPr>
                  </a:pPr>
                  <a:endParaRPr lang="en-US"/>
                </a:p>
              </c:txPr>
              <c:showLegendKey val="0"/>
              <c:showVal val="0"/>
              <c:showCatName val="0"/>
              <c:showSerName val="1"/>
              <c:showPercent val="0"/>
              <c:showBubbleSize val="0"/>
              <c:extLst>
                <c:ext xmlns:c16="http://schemas.microsoft.com/office/drawing/2014/chart" uri="{C3380CC4-5D6E-409C-BE32-E72D297353CC}">
                  <c16:uniqueId val="{00000001-865A-46EF-A1E9-E648F3D4FD64}"/>
                </c:ext>
              </c:extLst>
            </c:dLbl>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N237CP!$AE$44</c:f>
              <c:numCache>
                <c:formatCode>#,##0.0</c:formatCode>
                <c:ptCount val="1"/>
                <c:pt idx="0">
                  <c:v>40.033031970049684</c:v>
                </c:pt>
              </c:numCache>
            </c:numRef>
          </c:xVal>
          <c:yVal>
            <c:numRef>
              <c:f>N237CP!$AA$44</c:f>
              <c:numCache>
                <c:formatCode>#,##0.0</c:formatCode>
                <c:ptCount val="1"/>
                <c:pt idx="0">
                  <c:v>2401.31</c:v>
                </c:pt>
              </c:numCache>
            </c:numRef>
          </c:yVal>
          <c:smooth val="0"/>
          <c:extLst>
            <c:ext xmlns:c16="http://schemas.microsoft.com/office/drawing/2014/chart" uri="{C3380CC4-5D6E-409C-BE32-E72D297353CC}">
              <c16:uniqueId val="{00000002-865A-46EF-A1E9-E648F3D4FD64}"/>
            </c:ext>
          </c:extLst>
        </c:ser>
        <c:dLbls>
          <c:showLegendKey val="0"/>
          <c:showVal val="0"/>
          <c:showCatName val="0"/>
          <c:showSerName val="1"/>
          <c:showPercent val="0"/>
          <c:showBubbleSize val="0"/>
        </c:dLbls>
        <c:axId val="133799936"/>
        <c:axId val="133801472"/>
      </c:scatterChart>
      <c:valAx>
        <c:axId val="133799936"/>
        <c:scaling>
          <c:orientation val="minMax"/>
          <c:max val="47"/>
          <c:min val="32"/>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801472"/>
        <c:crosses val="autoZero"/>
        <c:crossBetween val="midCat"/>
        <c:majorUnit val="1"/>
        <c:minorUnit val="1"/>
      </c:valAx>
      <c:valAx>
        <c:axId val="133801472"/>
        <c:scaling>
          <c:orientation val="minMax"/>
          <c:max val="3200"/>
          <c:min val="18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799936"/>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N288CP!$AE$20</c:f>
              <c:numCache>
                <c:formatCode>#,##0.0</c:formatCode>
                <c:ptCount val="1"/>
                <c:pt idx="0">
                  <c:v>40.246462322294356</c:v>
                </c:pt>
              </c:numCache>
            </c:numRef>
          </c:xVal>
          <c:yVal>
            <c:numRef>
              <c:f>N288CP!$AA$20</c:f>
              <c:numCache>
                <c:formatCode>#,##0.0</c:formatCode>
                <c:ptCount val="1"/>
                <c:pt idx="0">
                  <c:v>2433.8000000000002</c:v>
                </c:pt>
              </c:numCache>
            </c:numRef>
          </c:yVal>
          <c:smooth val="0"/>
          <c:extLst>
            <c:ext xmlns:c16="http://schemas.microsoft.com/office/drawing/2014/chart" uri="{C3380CC4-5D6E-409C-BE32-E72D297353CC}">
              <c16:uniqueId val="{00000000-89DA-494B-8277-33DC5A696090}"/>
            </c:ext>
          </c:extLst>
        </c:ser>
        <c:ser>
          <c:idx val="1"/>
          <c:order val="1"/>
          <c:tx>
            <c:v>Landing</c:v>
          </c:tx>
          <c:spPr>
            <a:ln w="28575">
              <a:noFill/>
            </a:ln>
          </c:spPr>
          <c:marker>
            <c:symbol val="circle"/>
            <c:size val="10"/>
            <c:spPr>
              <a:solidFill>
                <a:srgbClr val="92D050"/>
              </a:solidFill>
              <a:ln>
                <a:solidFill>
                  <a:srgbClr val="C0C0C0"/>
                </a:solidFill>
                <a:prstDash val="solid"/>
              </a:ln>
            </c:spPr>
          </c:marker>
          <c:dLbls>
            <c:dLbl>
              <c:idx val="0"/>
              <c:spPr>
                <a:noFill/>
                <a:ln w="25400">
                  <a:noFill/>
                </a:ln>
              </c:spPr>
              <c:txPr>
                <a:bodyPr/>
                <a:lstStyle/>
                <a:p>
                  <a:pPr>
                    <a:defRPr sz="800" b="0" i="0" u="none" strike="noStrike" baseline="0">
                      <a:solidFill>
                        <a:schemeClr val="tx1">
                          <a:lumMod val="95000"/>
                          <a:lumOff val="5000"/>
                        </a:schemeClr>
                      </a:solidFill>
                      <a:latin typeface="Arial"/>
                      <a:ea typeface="Arial"/>
                      <a:cs typeface="Arial"/>
                    </a:defRPr>
                  </a:pPr>
                  <a:endParaRPr lang="en-US"/>
                </a:p>
              </c:txPr>
              <c:showLegendKey val="0"/>
              <c:showVal val="0"/>
              <c:showCatName val="0"/>
              <c:showSerName val="1"/>
              <c:showPercent val="0"/>
              <c:showBubbleSize val="0"/>
              <c:extLst>
                <c:ext xmlns:c16="http://schemas.microsoft.com/office/drawing/2014/chart" uri="{C3380CC4-5D6E-409C-BE32-E72D297353CC}">
                  <c16:uniqueId val="{00000001-89DA-494B-8277-33DC5A696090}"/>
                </c:ext>
              </c:extLst>
            </c:dLbl>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N288CP!$AE$44</c:f>
              <c:numCache>
                <c:formatCode>#,##0.0</c:formatCode>
                <c:ptCount val="1"/>
                <c:pt idx="0">
                  <c:v>40.246462322294356</c:v>
                </c:pt>
              </c:numCache>
            </c:numRef>
          </c:xVal>
          <c:yVal>
            <c:numRef>
              <c:f>N288CP!$AA$44</c:f>
              <c:numCache>
                <c:formatCode>#,##0.0</c:formatCode>
                <c:ptCount val="1"/>
                <c:pt idx="0">
                  <c:v>2433.8000000000002</c:v>
                </c:pt>
              </c:numCache>
            </c:numRef>
          </c:yVal>
          <c:smooth val="0"/>
          <c:extLst>
            <c:ext xmlns:c16="http://schemas.microsoft.com/office/drawing/2014/chart" uri="{C3380CC4-5D6E-409C-BE32-E72D297353CC}">
              <c16:uniqueId val="{00000002-89DA-494B-8277-33DC5A696090}"/>
            </c:ext>
          </c:extLst>
        </c:ser>
        <c:dLbls>
          <c:showLegendKey val="0"/>
          <c:showVal val="0"/>
          <c:showCatName val="0"/>
          <c:showSerName val="1"/>
          <c:showPercent val="0"/>
          <c:showBubbleSize val="0"/>
        </c:dLbls>
        <c:axId val="132156416"/>
        <c:axId val="132170496"/>
      </c:scatterChart>
      <c:valAx>
        <c:axId val="132156416"/>
        <c:scaling>
          <c:orientation val="minMax"/>
          <c:max val="47"/>
          <c:min val="32"/>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170496"/>
        <c:crosses val="autoZero"/>
        <c:crossBetween val="midCat"/>
        <c:majorUnit val="1"/>
        <c:minorUnit val="1"/>
      </c:valAx>
      <c:valAx>
        <c:axId val="132170496"/>
        <c:scaling>
          <c:orientation val="minMax"/>
          <c:max val="3200"/>
          <c:min val="18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156416"/>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2274382210313"/>
          <c:y val="9.0526408847048725E-2"/>
          <c:w val="0.82785377993322729"/>
          <c:h val="0.85684298606392484"/>
        </c:manualLayout>
      </c:layout>
      <c:scatterChart>
        <c:scatterStyle val="lineMarker"/>
        <c:varyColors val="0"/>
        <c:ser>
          <c:idx val="0"/>
          <c:order val="0"/>
          <c:tx>
            <c:v>Takeoff</c:v>
          </c:tx>
          <c:spPr>
            <a:ln w="28575">
              <a:noFill/>
            </a:ln>
          </c:spPr>
          <c:marker>
            <c:symbol val="circle"/>
            <c:size val="10"/>
            <c:spPr>
              <a:solidFill>
                <a:srgbClr val="0000FF"/>
              </a:solidFill>
              <a:ln>
                <a:solidFill>
                  <a:srgbClr val="0000FF"/>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N380CV!$AE$20</c:f>
              <c:numCache>
                <c:formatCode>#,##0.0</c:formatCode>
                <c:ptCount val="1"/>
                <c:pt idx="0">
                  <c:v>40.770830397917997</c:v>
                </c:pt>
              </c:numCache>
            </c:numRef>
          </c:xVal>
          <c:yVal>
            <c:numRef>
              <c:f>N380CV!$AA$20</c:f>
              <c:numCache>
                <c:formatCode>#,##0.0</c:formatCode>
                <c:ptCount val="1"/>
                <c:pt idx="0">
                  <c:v>2413.06</c:v>
                </c:pt>
              </c:numCache>
            </c:numRef>
          </c:yVal>
          <c:smooth val="0"/>
          <c:extLst>
            <c:ext xmlns:c16="http://schemas.microsoft.com/office/drawing/2014/chart" uri="{C3380CC4-5D6E-409C-BE32-E72D297353CC}">
              <c16:uniqueId val="{00000000-02E0-40A2-ABF0-1BB8294C2FC0}"/>
            </c:ext>
          </c:extLst>
        </c:ser>
        <c:ser>
          <c:idx val="1"/>
          <c:order val="1"/>
          <c:tx>
            <c:v>Landing</c:v>
          </c:tx>
          <c:spPr>
            <a:ln w="28575">
              <a:noFill/>
            </a:ln>
          </c:spPr>
          <c:marker>
            <c:symbol val="circle"/>
            <c:size val="10"/>
            <c:spPr>
              <a:solidFill>
                <a:srgbClr val="92D050"/>
              </a:solidFill>
              <a:ln>
                <a:solidFill>
                  <a:srgbClr val="C0C0C0"/>
                </a:solidFill>
                <a:prstDash val="solid"/>
              </a:ln>
            </c:spPr>
          </c:marker>
          <c:dLbls>
            <c:dLbl>
              <c:idx val="0"/>
              <c:spPr>
                <a:noFill/>
                <a:ln w="25400">
                  <a:noFill/>
                </a:ln>
              </c:spPr>
              <c:txPr>
                <a:bodyPr/>
                <a:lstStyle/>
                <a:p>
                  <a:pPr>
                    <a:defRPr sz="800" b="0" i="0" u="none" strike="noStrike" baseline="0">
                      <a:solidFill>
                        <a:schemeClr val="tx1">
                          <a:lumMod val="95000"/>
                          <a:lumOff val="5000"/>
                        </a:schemeClr>
                      </a:solidFill>
                      <a:latin typeface="Arial"/>
                      <a:ea typeface="Arial"/>
                      <a:cs typeface="Arial"/>
                    </a:defRPr>
                  </a:pPr>
                  <a:endParaRPr lang="en-US"/>
                </a:p>
              </c:txPr>
              <c:showLegendKey val="0"/>
              <c:showVal val="0"/>
              <c:showCatName val="0"/>
              <c:showSerName val="1"/>
              <c:showPercent val="0"/>
              <c:showBubbleSize val="0"/>
              <c:extLst>
                <c:ext xmlns:c16="http://schemas.microsoft.com/office/drawing/2014/chart" uri="{C3380CC4-5D6E-409C-BE32-E72D297353CC}">
                  <c16:uniqueId val="{00000001-02E0-40A2-ABF0-1BB8294C2FC0}"/>
                </c:ext>
              </c:extLst>
            </c:dLbl>
            <c:spPr>
              <a:noFill/>
              <a:ln w="25400">
                <a:noFill/>
              </a:ln>
            </c:spPr>
            <c:txPr>
              <a:bodyPr/>
              <a:lstStyle/>
              <a:p>
                <a:pPr>
                  <a:defRPr sz="800" b="0" i="0" u="none" strike="noStrike" baseline="0">
                    <a:solidFill>
                      <a:srgbClr val="808080"/>
                    </a:solidFill>
                    <a:latin typeface="Arial"/>
                    <a:ea typeface="Arial"/>
                    <a:cs typeface="Aria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N380CV!$AE$44</c:f>
              <c:numCache>
                <c:formatCode>#,##0.0</c:formatCode>
                <c:ptCount val="1"/>
                <c:pt idx="0">
                  <c:v>40.770830397917997</c:v>
                </c:pt>
              </c:numCache>
            </c:numRef>
          </c:xVal>
          <c:yVal>
            <c:numRef>
              <c:f>N380CV!$AA$44</c:f>
              <c:numCache>
                <c:formatCode>#,##0.0</c:formatCode>
                <c:ptCount val="1"/>
                <c:pt idx="0">
                  <c:v>2413.06</c:v>
                </c:pt>
              </c:numCache>
            </c:numRef>
          </c:yVal>
          <c:smooth val="0"/>
          <c:extLst>
            <c:ext xmlns:c16="http://schemas.microsoft.com/office/drawing/2014/chart" uri="{C3380CC4-5D6E-409C-BE32-E72D297353CC}">
              <c16:uniqueId val="{00000002-02E0-40A2-ABF0-1BB8294C2FC0}"/>
            </c:ext>
          </c:extLst>
        </c:ser>
        <c:dLbls>
          <c:showLegendKey val="0"/>
          <c:showVal val="0"/>
          <c:showCatName val="0"/>
          <c:showSerName val="1"/>
          <c:showPercent val="0"/>
          <c:showBubbleSize val="0"/>
        </c:dLbls>
        <c:axId val="132156416"/>
        <c:axId val="132170496"/>
      </c:scatterChart>
      <c:valAx>
        <c:axId val="132156416"/>
        <c:scaling>
          <c:orientation val="minMax"/>
          <c:max val="47"/>
          <c:min val="32"/>
        </c:scaling>
        <c:delete val="0"/>
        <c:axPos val="b"/>
        <c:majorGridlines>
          <c:spPr>
            <a:ln w="3175">
              <a:solidFill>
                <a:schemeClr val="tx1">
                  <a:lumMod val="75000"/>
                  <a:lumOff val="25000"/>
                </a:schemeClr>
              </a:solidFill>
              <a:prstDash val="solid"/>
            </a:ln>
          </c:spPr>
        </c:majorGridlines>
        <c:numFmt formatCode="#,##0.0" sourceLinked="1"/>
        <c:majorTickMark val="out"/>
        <c:minorTickMark val="none"/>
        <c:tickLblPos val="high"/>
        <c:spPr>
          <a:ln w="3175">
            <a:solidFill>
              <a:srgbClr val="333333"/>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170496"/>
        <c:crosses val="autoZero"/>
        <c:crossBetween val="midCat"/>
        <c:majorUnit val="1"/>
        <c:minorUnit val="1"/>
      </c:valAx>
      <c:valAx>
        <c:axId val="132170496"/>
        <c:scaling>
          <c:orientation val="minMax"/>
          <c:max val="3200"/>
          <c:min val="1800"/>
        </c:scaling>
        <c:delete val="0"/>
        <c:axPos val="l"/>
        <c:majorGridlines>
          <c:spPr>
            <a:ln w="3175">
              <a:solidFill>
                <a:srgbClr val="969696"/>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156416"/>
        <c:crossesAt val="1"/>
        <c:crossBetween val="midCat"/>
        <c:majorUnit val="100"/>
        <c:minorUnit val="10"/>
      </c:valAx>
      <c:spPr>
        <a:solidFill>
          <a:srgbClr val="FFFFFF"/>
        </a:solidFill>
        <a:ln w="12700">
          <a:solidFill>
            <a:srgbClr val="969696"/>
          </a:solidFill>
          <a:prstDash val="solid"/>
        </a:ln>
      </c:spPr>
    </c:plotArea>
    <c:plotVisOnly val="0"/>
    <c:dispBlanksAs val="gap"/>
    <c:showDLblsOverMax val="0"/>
  </c:chart>
  <c:spPr>
    <a:solidFill>
      <a:srgbClr val="FFFFFF"/>
    </a:solidFill>
    <a:ln w="254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8.vml.rels><?xml version="1.0" encoding="UTF-8" standalone="yes"?>
<Relationships xmlns="http://schemas.openxmlformats.org/package/2006/relationships"><Relationship Id="rId3" Type="http://schemas.openxmlformats.org/officeDocument/2006/relationships/image" Target="../media/image8.emf"/><Relationship Id="rId7" Type="http://schemas.openxmlformats.org/officeDocument/2006/relationships/image" Target="../media/image12.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s>
</file>

<file path=xl/drawings/_rels/vmlDrawing19.vml.rels><?xml version="1.0" encoding="UTF-8" standalone="yes"?>
<Relationships xmlns="http://schemas.openxmlformats.org/package/2006/relationships"><Relationship Id="rId3" Type="http://schemas.openxmlformats.org/officeDocument/2006/relationships/image" Target="../media/image17.emf"/><Relationship Id="rId7" Type="http://schemas.openxmlformats.org/officeDocument/2006/relationships/image" Target="../media/image13.emf"/><Relationship Id="rId2" Type="http://schemas.openxmlformats.org/officeDocument/2006/relationships/image" Target="../media/image18.emf"/><Relationship Id="rId1" Type="http://schemas.openxmlformats.org/officeDocument/2006/relationships/image" Target="../media/image19.emf"/><Relationship Id="rId6" Type="http://schemas.openxmlformats.org/officeDocument/2006/relationships/image" Target="../media/image14.emf"/><Relationship Id="rId5" Type="http://schemas.openxmlformats.org/officeDocument/2006/relationships/image" Target="../media/image15.emf"/><Relationship Id="rId4"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xdr:from>
      <xdr:col>0</xdr:col>
      <xdr:colOff>133350</xdr:colOff>
      <xdr:row>8</xdr:row>
      <xdr:rowOff>161925</xdr:rowOff>
    </xdr:from>
    <xdr:to>
      <xdr:col>3</xdr:col>
      <xdr:colOff>152400</xdr:colOff>
      <xdr:row>21</xdr:row>
      <xdr:rowOff>47625</xdr:rowOff>
    </xdr:to>
    <xdr:pic>
      <xdr:nvPicPr>
        <xdr:cNvPr id="1675794" name="Picture 35">
          <a:extLst>
            <a:ext uri="{FF2B5EF4-FFF2-40B4-BE49-F238E27FC236}">
              <a16:creationId xmlns:a16="http://schemas.microsoft.com/office/drawing/2014/main" id="{00000000-0008-0000-0000-0000129219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 y="1562100"/>
          <a:ext cx="1638300" cy="2114550"/>
        </a:xfrm>
        <a:prstGeom prst="rect">
          <a:avLst/>
        </a:prstGeom>
        <a:noFill/>
        <a:ln w="9525">
          <a:noFill/>
          <a:miter lim="800000"/>
          <a:headEnd/>
          <a:tailEnd/>
        </a:ln>
      </xdr:spPr>
    </xdr:pic>
    <xdr:clientData/>
  </xdr:twoCellAnchor>
  <xdr:twoCellAnchor editAs="oneCell">
    <xdr:from>
      <xdr:col>1</xdr:col>
      <xdr:colOff>295275</xdr:colOff>
      <xdr:row>0</xdr:row>
      <xdr:rowOff>38100</xdr:rowOff>
    </xdr:from>
    <xdr:to>
      <xdr:col>2</xdr:col>
      <xdr:colOff>523875</xdr:colOff>
      <xdr:row>5</xdr:row>
      <xdr:rowOff>40005</xdr:rowOff>
    </xdr:to>
    <xdr:pic>
      <xdr:nvPicPr>
        <xdr:cNvPr id="1675795" name="Picture 1" descr="CAP-LOGO-1">
          <a:extLst>
            <a:ext uri="{FF2B5EF4-FFF2-40B4-BE49-F238E27FC236}">
              <a16:creationId xmlns:a16="http://schemas.microsoft.com/office/drawing/2014/main" id="{00000000-0008-0000-0000-0000139219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1500" y="38100"/>
          <a:ext cx="790575" cy="800100"/>
        </a:xfrm>
        <a:prstGeom prst="rect">
          <a:avLst/>
        </a:prstGeom>
        <a:noFill/>
        <a:ln w="9525">
          <a:noFill/>
          <a:miter lim="800000"/>
          <a:headEnd/>
          <a:tailEnd/>
        </a:ln>
      </xdr:spPr>
    </xdr:pic>
    <xdr:clientData/>
  </xdr:twoCellAnchor>
  <xdr:twoCellAnchor>
    <xdr:from>
      <xdr:col>6</xdr:col>
      <xdr:colOff>533400</xdr:colOff>
      <xdr:row>8</xdr:row>
      <xdr:rowOff>19050</xdr:rowOff>
    </xdr:from>
    <xdr:to>
      <xdr:col>7</xdr:col>
      <xdr:colOff>19050</xdr:colOff>
      <xdr:row>10</xdr:row>
      <xdr:rowOff>142875</xdr:rowOff>
    </xdr:to>
    <xdr:sp macro="" textlink="">
      <xdr:nvSpPr>
        <xdr:cNvPr id="1675796" name="AutoShape 3">
          <a:extLst>
            <a:ext uri="{FF2B5EF4-FFF2-40B4-BE49-F238E27FC236}">
              <a16:creationId xmlns:a16="http://schemas.microsoft.com/office/drawing/2014/main" id="{00000000-0008-0000-0000-000014921900}"/>
            </a:ext>
          </a:extLst>
        </xdr:cNvPr>
        <xdr:cNvSpPr>
          <a:spLocks/>
        </xdr:cNvSpPr>
      </xdr:nvSpPr>
      <xdr:spPr bwMode="auto">
        <a:xfrm>
          <a:off x="3943350" y="1419225"/>
          <a:ext cx="133350" cy="466725"/>
        </a:xfrm>
        <a:prstGeom prst="leftBrace">
          <a:avLst>
            <a:gd name="adj1" fmla="val 29167"/>
            <a:gd name="adj2" fmla="val 50000"/>
          </a:avLst>
        </a:prstGeom>
        <a:noFill/>
        <a:ln w="9525">
          <a:solidFill>
            <a:srgbClr val="969696"/>
          </a:solidFill>
          <a:round/>
          <a:headEnd/>
          <a:tailEnd/>
        </a:ln>
      </xdr:spPr>
    </xdr:sp>
    <xdr:clientData/>
  </xdr:twoCellAnchor>
  <xdr:twoCellAnchor editAs="oneCell">
    <xdr:from>
      <xdr:col>6</xdr:col>
      <xdr:colOff>428625</xdr:colOff>
      <xdr:row>17</xdr:row>
      <xdr:rowOff>9525</xdr:rowOff>
    </xdr:from>
    <xdr:to>
      <xdr:col>9</xdr:col>
      <xdr:colOff>590550</xdr:colOff>
      <xdr:row>21</xdr:row>
      <xdr:rowOff>142875</xdr:rowOff>
    </xdr:to>
    <xdr:pic>
      <xdr:nvPicPr>
        <xdr:cNvPr id="1675797" name="Picture 14">
          <a:extLst>
            <a:ext uri="{FF2B5EF4-FFF2-40B4-BE49-F238E27FC236}">
              <a16:creationId xmlns:a16="http://schemas.microsoft.com/office/drawing/2014/main" id="{00000000-0008-0000-0000-0000159219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838575" y="2952750"/>
          <a:ext cx="2105025" cy="819150"/>
        </a:xfrm>
        <a:prstGeom prst="rect">
          <a:avLst/>
        </a:prstGeom>
        <a:noFill/>
        <a:ln w="1">
          <a:noFill/>
          <a:miter lim="800000"/>
          <a:headEnd/>
          <a:tailEnd/>
        </a:ln>
      </xdr:spPr>
    </xdr:pic>
    <xdr:clientData/>
  </xdr:twoCellAnchor>
  <xdr:twoCellAnchor editAs="oneCell">
    <xdr:from>
      <xdr:col>6</xdr:col>
      <xdr:colOff>533400</xdr:colOff>
      <xdr:row>13</xdr:row>
      <xdr:rowOff>152400</xdr:rowOff>
    </xdr:from>
    <xdr:to>
      <xdr:col>9</xdr:col>
      <xdr:colOff>590550</xdr:colOff>
      <xdr:row>16</xdr:row>
      <xdr:rowOff>114300</xdr:rowOff>
    </xdr:to>
    <xdr:sp macro="" textlink="">
      <xdr:nvSpPr>
        <xdr:cNvPr id="11279" name="Text Box 15">
          <a:extLst>
            <a:ext uri="{FF2B5EF4-FFF2-40B4-BE49-F238E27FC236}">
              <a16:creationId xmlns:a16="http://schemas.microsoft.com/office/drawing/2014/main" id="{00000000-0008-0000-0000-00000F2C0000}"/>
            </a:ext>
          </a:extLst>
        </xdr:cNvPr>
        <xdr:cNvSpPr txBox="1">
          <a:spLocks noChangeArrowheads="1"/>
        </xdr:cNvSpPr>
      </xdr:nvSpPr>
      <xdr:spPr bwMode="auto">
        <a:xfrm>
          <a:off x="3943350" y="2409825"/>
          <a:ext cx="2000250" cy="476250"/>
        </a:xfrm>
        <a:prstGeom prst="rect">
          <a:avLst/>
        </a:prstGeom>
        <a:noFill/>
        <a:ln w="9525" algn="ctr">
          <a:no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Message Annunciator</a:t>
          </a: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displays warnings or messages regarding missing or needed input.</a:t>
          </a: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7</xdr:col>
      <xdr:colOff>304800</xdr:colOff>
      <xdr:row>11</xdr:row>
      <xdr:rowOff>47625</xdr:rowOff>
    </xdr:from>
    <xdr:to>
      <xdr:col>7</xdr:col>
      <xdr:colOff>304800</xdr:colOff>
      <xdr:row>13</xdr:row>
      <xdr:rowOff>133350</xdr:rowOff>
    </xdr:to>
    <xdr:sp macro="" textlink="">
      <xdr:nvSpPr>
        <xdr:cNvPr id="1675799" name="Line 21">
          <a:extLst>
            <a:ext uri="{FF2B5EF4-FFF2-40B4-BE49-F238E27FC236}">
              <a16:creationId xmlns:a16="http://schemas.microsoft.com/office/drawing/2014/main" id="{00000000-0008-0000-0000-000017921900}"/>
            </a:ext>
          </a:extLst>
        </xdr:cNvPr>
        <xdr:cNvSpPr>
          <a:spLocks noChangeShapeType="1"/>
        </xdr:cNvSpPr>
      </xdr:nvSpPr>
      <xdr:spPr bwMode="auto">
        <a:xfrm>
          <a:off x="4362450" y="1962150"/>
          <a:ext cx="0" cy="428625"/>
        </a:xfrm>
        <a:prstGeom prst="line">
          <a:avLst/>
        </a:prstGeom>
        <a:noFill/>
        <a:ln w="76200">
          <a:solidFill>
            <a:srgbClr val="C0C0C0"/>
          </a:solidFill>
          <a:round/>
          <a:headEnd/>
          <a:tailEnd type="triangle" w="med" len="med"/>
        </a:ln>
      </xdr:spPr>
    </xdr:sp>
    <xdr:clientData/>
  </xdr:twoCellAnchor>
  <xdr:twoCellAnchor editAs="oneCell">
    <xdr:from>
      <xdr:col>3</xdr:col>
      <xdr:colOff>428625</xdr:colOff>
      <xdr:row>11</xdr:row>
      <xdr:rowOff>38100</xdr:rowOff>
    </xdr:from>
    <xdr:to>
      <xdr:col>5</xdr:col>
      <xdr:colOff>66675</xdr:colOff>
      <xdr:row>20</xdr:row>
      <xdr:rowOff>104775</xdr:rowOff>
    </xdr:to>
    <xdr:sp macro="" textlink="">
      <xdr:nvSpPr>
        <xdr:cNvPr id="11274" name="Text Box 10">
          <a:extLst>
            <a:ext uri="{FF2B5EF4-FFF2-40B4-BE49-F238E27FC236}">
              <a16:creationId xmlns:a16="http://schemas.microsoft.com/office/drawing/2014/main" id="{00000000-0008-0000-0000-00000A2C0000}"/>
            </a:ext>
          </a:extLst>
        </xdr:cNvPr>
        <xdr:cNvSpPr txBox="1">
          <a:spLocks noChangeArrowheads="1"/>
        </xdr:cNvSpPr>
      </xdr:nvSpPr>
      <xdr:spPr bwMode="auto">
        <a:xfrm>
          <a:off x="2047875" y="1952625"/>
          <a:ext cx="781050" cy="1609725"/>
        </a:xfrm>
        <a:prstGeom prst="rect">
          <a:avLst/>
        </a:prstGeom>
        <a:solidFill>
          <a:srgbClr val="CCFF99"/>
        </a:solidFill>
        <a:ln w="28575">
          <a:solidFill>
            <a:srgbClr val="008000"/>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Data is entered into the GREEN cells.  All calculations are made from these cells so no other entries are required.!</a:t>
          </a:r>
        </a:p>
      </xdr:txBody>
    </xdr:sp>
    <xdr:clientData/>
  </xdr:twoCellAnchor>
  <xdr:twoCellAnchor>
    <xdr:from>
      <xdr:col>2</xdr:col>
      <xdr:colOff>495300</xdr:colOff>
      <xdr:row>10</xdr:row>
      <xdr:rowOff>38100</xdr:rowOff>
    </xdr:from>
    <xdr:to>
      <xdr:col>3</xdr:col>
      <xdr:colOff>419100</xdr:colOff>
      <xdr:row>13</xdr:row>
      <xdr:rowOff>95250</xdr:rowOff>
    </xdr:to>
    <xdr:sp macro="" textlink="">
      <xdr:nvSpPr>
        <xdr:cNvPr id="1675802" name="Freeform 19">
          <a:extLst>
            <a:ext uri="{FF2B5EF4-FFF2-40B4-BE49-F238E27FC236}">
              <a16:creationId xmlns:a16="http://schemas.microsoft.com/office/drawing/2014/main" id="{00000000-0008-0000-0000-00001A921900}"/>
            </a:ext>
          </a:extLst>
        </xdr:cNvPr>
        <xdr:cNvSpPr>
          <a:spLocks/>
        </xdr:cNvSpPr>
      </xdr:nvSpPr>
      <xdr:spPr bwMode="auto">
        <a:xfrm>
          <a:off x="1333500" y="1781175"/>
          <a:ext cx="704850" cy="571500"/>
        </a:xfrm>
        <a:custGeom>
          <a:avLst/>
          <a:gdLst>
            <a:gd name="T0" fmla="*/ 2147483647 w 74"/>
            <a:gd name="T1" fmla="*/ 2147483647 h 60"/>
            <a:gd name="T2" fmla="*/ 0 w 74"/>
            <a:gd name="T3" fmla="*/ 0 h 60"/>
            <a:gd name="T4" fmla="*/ 0 60000 65536"/>
            <a:gd name="T5" fmla="*/ 0 60000 65536"/>
            <a:gd name="T6" fmla="*/ 0 w 74"/>
            <a:gd name="T7" fmla="*/ 0 h 60"/>
            <a:gd name="T8" fmla="*/ 74 w 74"/>
            <a:gd name="T9" fmla="*/ 60 h 60"/>
          </a:gdLst>
          <a:ahLst/>
          <a:cxnLst>
            <a:cxn ang="T4">
              <a:pos x="T0" y="T1"/>
            </a:cxn>
            <a:cxn ang="T5">
              <a:pos x="T2" y="T3"/>
            </a:cxn>
          </a:cxnLst>
          <a:rect l="T6" t="T7" r="T8" b="T9"/>
          <a:pathLst>
            <a:path w="74" h="60">
              <a:moveTo>
                <a:pt x="74" y="60"/>
              </a:moveTo>
              <a:lnTo>
                <a:pt x="0" y="0"/>
              </a:lnTo>
            </a:path>
          </a:pathLst>
        </a:custGeom>
        <a:noFill/>
        <a:ln w="9525">
          <a:solidFill>
            <a:srgbClr val="333333"/>
          </a:solidFill>
          <a:round/>
          <a:headEnd/>
          <a:tailEnd type="triangle" w="med" len="med"/>
        </a:ln>
      </xdr:spPr>
    </xdr:sp>
    <xdr:clientData/>
  </xdr:twoCellAnchor>
  <xdr:twoCellAnchor>
    <xdr:from>
      <xdr:col>2</xdr:col>
      <xdr:colOff>409575</xdr:colOff>
      <xdr:row>17</xdr:row>
      <xdr:rowOff>19050</xdr:rowOff>
    </xdr:from>
    <xdr:to>
      <xdr:col>3</xdr:col>
      <xdr:colOff>400050</xdr:colOff>
      <xdr:row>19</xdr:row>
      <xdr:rowOff>47625</xdr:rowOff>
    </xdr:to>
    <xdr:sp macro="" textlink="">
      <xdr:nvSpPr>
        <xdr:cNvPr id="1675803" name="Freeform 20">
          <a:extLst>
            <a:ext uri="{FF2B5EF4-FFF2-40B4-BE49-F238E27FC236}">
              <a16:creationId xmlns:a16="http://schemas.microsoft.com/office/drawing/2014/main" id="{00000000-0008-0000-0000-00001B921900}"/>
            </a:ext>
          </a:extLst>
        </xdr:cNvPr>
        <xdr:cNvSpPr>
          <a:spLocks/>
        </xdr:cNvSpPr>
      </xdr:nvSpPr>
      <xdr:spPr bwMode="auto">
        <a:xfrm>
          <a:off x="1247775" y="2962275"/>
          <a:ext cx="771525" cy="371475"/>
        </a:xfrm>
        <a:custGeom>
          <a:avLst/>
          <a:gdLst>
            <a:gd name="T0" fmla="*/ 2147483647 w 81"/>
            <a:gd name="T1" fmla="*/ 0 h 39"/>
            <a:gd name="T2" fmla="*/ 0 w 81"/>
            <a:gd name="T3" fmla="*/ 2147483647 h 39"/>
            <a:gd name="T4" fmla="*/ 0 60000 65536"/>
            <a:gd name="T5" fmla="*/ 0 60000 65536"/>
            <a:gd name="T6" fmla="*/ 0 w 81"/>
            <a:gd name="T7" fmla="*/ 0 h 39"/>
            <a:gd name="T8" fmla="*/ 81 w 81"/>
            <a:gd name="T9" fmla="*/ 39 h 39"/>
          </a:gdLst>
          <a:ahLst/>
          <a:cxnLst>
            <a:cxn ang="T4">
              <a:pos x="T0" y="T1"/>
            </a:cxn>
            <a:cxn ang="T5">
              <a:pos x="T2" y="T3"/>
            </a:cxn>
          </a:cxnLst>
          <a:rect l="T6" t="T7" r="T8" b="T9"/>
          <a:pathLst>
            <a:path w="81" h="39">
              <a:moveTo>
                <a:pt x="81" y="0"/>
              </a:moveTo>
              <a:lnTo>
                <a:pt x="0" y="39"/>
              </a:lnTo>
            </a:path>
          </a:pathLst>
        </a:custGeom>
        <a:noFill/>
        <a:ln w="9525">
          <a:solidFill>
            <a:srgbClr val="333333"/>
          </a:solidFill>
          <a:round/>
          <a:headEnd/>
          <a:tailEnd type="triangle" w="med" len="med"/>
        </a:ln>
      </xdr:spPr>
    </xdr:sp>
    <xdr:clientData/>
  </xdr:twoCellAnchor>
  <xdr:twoCellAnchor>
    <xdr:from>
      <xdr:col>2</xdr:col>
      <xdr:colOff>342900</xdr:colOff>
      <xdr:row>13</xdr:row>
      <xdr:rowOff>123825</xdr:rowOff>
    </xdr:from>
    <xdr:to>
      <xdr:col>3</xdr:col>
      <xdr:colOff>409575</xdr:colOff>
      <xdr:row>15</xdr:row>
      <xdr:rowOff>57150</xdr:rowOff>
    </xdr:to>
    <xdr:sp macro="" textlink="">
      <xdr:nvSpPr>
        <xdr:cNvPr id="1675804" name="Freeform 34">
          <a:extLst>
            <a:ext uri="{FF2B5EF4-FFF2-40B4-BE49-F238E27FC236}">
              <a16:creationId xmlns:a16="http://schemas.microsoft.com/office/drawing/2014/main" id="{00000000-0008-0000-0000-00001C921900}"/>
            </a:ext>
          </a:extLst>
        </xdr:cNvPr>
        <xdr:cNvSpPr>
          <a:spLocks/>
        </xdr:cNvSpPr>
      </xdr:nvSpPr>
      <xdr:spPr bwMode="auto">
        <a:xfrm>
          <a:off x="1181100" y="2381250"/>
          <a:ext cx="847725" cy="276225"/>
        </a:xfrm>
        <a:custGeom>
          <a:avLst/>
          <a:gdLst>
            <a:gd name="T0" fmla="*/ 2147483647 w 89"/>
            <a:gd name="T1" fmla="*/ 2147483647 h 29"/>
            <a:gd name="T2" fmla="*/ 0 w 89"/>
            <a:gd name="T3" fmla="*/ 0 h 29"/>
            <a:gd name="T4" fmla="*/ 0 60000 65536"/>
            <a:gd name="T5" fmla="*/ 0 60000 65536"/>
            <a:gd name="T6" fmla="*/ 0 w 89"/>
            <a:gd name="T7" fmla="*/ 0 h 29"/>
            <a:gd name="T8" fmla="*/ 89 w 89"/>
            <a:gd name="T9" fmla="*/ 29 h 29"/>
          </a:gdLst>
          <a:ahLst/>
          <a:cxnLst>
            <a:cxn ang="T4">
              <a:pos x="T0" y="T1"/>
            </a:cxn>
            <a:cxn ang="T5">
              <a:pos x="T2" y="T3"/>
            </a:cxn>
          </a:cxnLst>
          <a:rect l="T6" t="T7" r="T8" b="T9"/>
          <a:pathLst>
            <a:path w="89" h="29">
              <a:moveTo>
                <a:pt x="89" y="29"/>
              </a:moveTo>
              <a:lnTo>
                <a:pt x="0" y="0"/>
              </a:lnTo>
            </a:path>
          </a:pathLst>
        </a:custGeom>
        <a:noFill/>
        <a:ln w="9525">
          <a:solidFill>
            <a:srgbClr val="333333"/>
          </a:solidFill>
          <a:round/>
          <a:headEnd/>
          <a:tailEnd type="triangle" w="med" len="med"/>
        </a:ln>
      </xdr:spPr>
    </xdr:sp>
    <xdr:clientData/>
  </xdr:twoCellAnchor>
  <xdr:oneCellAnchor>
    <xdr:from>
      <xdr:col>3</xdr:col>
      <xdr:colOff>247650</xdr:colOff>
      <xdr:row>9</xdr:row>
      <xdr:rowOff>85725</xdr:rowOff>
    </xdr:from>
    <xdr:ext cx="962025" cy="133350"/>
    <xdr:sp macro="" textlink="">
      <xdr:nvSpPr>
        <xdr:cNvPr id="11300" name="Text Box 36">
          <a:extLst>
            <a:ext uri="{FF2B5EF4-FFF2-40B4-BE49-F238E27FC236}">
              <a16:creationId xmlns:a16="http://schemas.microsoft.com/office/drawing/2014/main" id="{00000000-0008-0000-0000-0000242C0000}"/>
            </a:ext>
          </a:extLst>
        </xdr:cNvPr>
        <xdr:cNvSpPr txBox="1">
          <a:spLocks noChangeArrowheads="1"/>
        </xdr:cNvSpPr>
      </xdr:nvSpPr>
      <xdr:spPr bwMode="auto">
        <a:xfrm>
          <a:off x="1866900" y="1657350"/>
          <a:ext cx="1019175" cy="152400"/>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en-US" sz="700" b="0" i="0" u="none" strike="noStrike" baseline="0">
              <a:solidFill>
                <a:srgbClr val="808080"/>
              </a:solidFill>
              <a:latin typeface="Arial"/>
              <a:cs typeface="Arial"/>
            </a:rPr>
            <a:t>Mission data is optional</a:t>
          </a:r>
        </a:p>
      </xdr:txBody>
    </xdr:sp>
    <xdr:clientData/>
  </xdr:oneCellAnchor>
  <xdr:twoCellAnchor>
    <xdr:from>
      <xdr:col>3</xdr:col>
      <xdr:colOff>171450</xdr:colOff>
      <xdr:row>8</xdr:row>
      <xdr:rowOff>142875</xdr:rowOff>
    </xdr:from>
    <xdr:to>
      <xdr:col>3</xdr:col>
      <xdr:colOff>247650</xdr:colOff>
      <xdr:row>11</xdr:row>
      <xdr:rowOff>9525</xdr:rowOff>
    </xdr:to>
    <xdr:sp macro="" textlink="">
      <xdr:nvSpPr>
        <xdr:cNvPr id="1675806" name="AutoShape 37">
          <a:extLst>
            <a:ext uri="{FF2B5EF4-FFF2-40B4-BE49-F238E27FC236}">
              <a16:creationId xmlns:a16="http://schemas.microsoft.com/office/drawing/2014/main" id="{00000000-0008-0000-0000-00001E921900}"/>
            </a:ext>
          </a:extLst>
        </xdr:cNvPr>
        <xdr:cNvSpPr>
          <a:spLocks/>
        </xdr:cNvSpPr>
      </xdr:nvSpPr>
      <xdr:spPr bwMode="auto">
        <a:xfrm>
          <a:off x="1790700" y="1543050"/>
          <a:ext cx="76200" cy="381000"/>
        </a:xfrm>
        <a:prstGeom prst="rightBrace">
          <a:avLst>
            <a:gd name="adj1" fmla="val 41667"/>
            <a:gd name="adj2" fmla="val 50000"/>
          </a:avLst>
        </a:prstGeom>
        <a:noFill/>
        <a:ln w="9525">
          <a:solidFill>
            <a:srgbClr val="808080"/>
          </a:solidFill>
          <a:round/>
          <a:headEnd/>
          <a:tailEnd/>
        </a:ln>
      </xdr:spPr>
    </xdr:sp>
    <xdr:clientData/>
  </xdr:twoCellAnchor>
  <xdr:twoCellAnchor>
    <xdr:from>
      <xdr:col>15</xdr:col>
      <xdr:colOff>548640</xdr:colOff>
      <xdr:row>0</xdr:row>
      <xdr:rowOff>60960</xdr:rowOff>
    </xdr:from>
    <xdr:to>
      <xdr:col>15</xdr:col>
      <xdr:colOff>868680</xdr:colOff>
      <xdr:row>1</xdr:row>
      <xdr:rowOff>83820</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9662160" y="60960"/>
          <a:ext cx="320040" cy="182880"/>
        </a:xfrm>
        <a:prstGeom prst="rect">
          <a:avLst/>
        </a:prstGeom>
        <a:solidFill>
          <a:srgbClr val="00FF00"/>
        </a:solidFill>
        <a:ln w="9525" cap="flat" cmpd="sng" algn="ctr">
          <a:noFill/>
          <a:prstDash val="solid"/>
          <a:round/>
          <a:headEnd type="none" w="med" len="med"/>
          <a:tailEnd type="none" w="med" len="med"/>
        </a:ln>
        <a:effectLst/>
      </xdr:spPr>
      <xdr:txBody>
        <a:bodyPr vertOverflow="clip" horzOverflow="clip" wrap="none" lIns="18288" tIns="0" rIns="0" bIns="0" rtlCol="0" anchor="t" upright="1">
          <a:noAutofit/>
        </a:bodyPr>
        <a:lstStyle/>
        <a:p>
          <a:pPr algn="l"/>
          <a:endParaRPr lang="en-US" sz="1100"/>
        </a:p>
      </xdr:txBody>
    </xdr:sp>
    <xdr:clientData/>
  </xdr:twoCellAnchor>
  <xdr:twoCellAnchor>
    <xdr:from>
      <xdr:col>13</xdr:col>
      <xdr:colOff>106680</xdr:colOff>
      <xdr:row>2</xdr:row>
      <xdr:rowOff>121920</xdr:rowOff>
    </xdr:from>
    <xdr:to>
      <xdr:col>14</xdr:col>
      <xdr:colOff>154299</xdr:colOff>
      <xdr:row>4</xdr:row>
      <xdr:rowOff>64887</xdr:rowOff>
    </xdr:to>
    <xdr:sp macro="" textlink="">
      <xdr:nvSpPr>
        <xdr:cNvPr id="16" name="Freeform 15">
          <a:extLst>
            <a:ext uri="{FF2B5EF4-FFF2-40B4-BE49-F238E27FC236}">
              <a16:creationId xmlns:a16="http://schemas.microsoft.com/office/drawing/2014/main" id="{00000000-0008-0000-0000-000010000000}"/>
            </a:ext>
          </a:extLst>
        </xdr:cNvPr>
        <xdr:cNvSpPr/>
      </xdr:nvSpPr>
      <xdr:spPr bwMode="auto">
        <a:xfrm>
          <a:off x="8054340" y="441960"/>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582732</xdr:colOff>
      <xdr:row>25</xdr:row>
      <xdr:rowOff>117939</xdr:rowOff>
    </xdr:from>
    <xdr:to>
      <xdr:col>12</xdr:col>
      <xdr:colOff>2008081</xdr:colOff>
      <xdr:row>47</xdr:row>
      <xdr:rowOff>111107</xdr:rowOff>
    </xdr:to>
    <xdr:sp macro="" textlink="">
      <xdr:nvSpPr>
        <xdr:cNvPr id="3" name="Freeform 2">
          <a:extLst>
            <a:ext uri="{FF2B5EF4-FFF2-40B4-BE49-F238E27FC236}">
              <a16:creationId xmlns:a16="http://schemas.microsoft.com/office/drawing/2014/main" id="{00000000-0008-0000-0900-000003000000}"/>
            </a:ext>
          </a:extLst>
        </xdr:cNvPr>
        <xdr:cNvSpPr>
          <a:spLocks/>
        </xdr:cNvSpPr>
      </xdr:nvSpPr>
      <xdr:spPr bwMode="auto">
        <a:xfrm>
          <a:off x="4430832" y="4773759"/>
          <a:ext cx="3658009" cy="3864128"/>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0 w 10000"/>
            <a:gd name="connsiteY0" fmla="*/ 9974 h 10000"/>
            <a:gd name="connsiteX1" fmla="*/ 0 w 10000"/>
            <a:gd name="connsiteY1" fmla="*/ 5692 h 10000"/>
            <a:gd name="connsiteX2" fmla="*/ 6044 w 10000"/>
            <a:gd name="connsiteY2" fmla="*/ 332 h 10000"/>
            <a:gd name="connsiteX3" fmla="*/ 9921 w 10000"/>
            <a:gd name="connsiteY3" fmla="*/ 0 h 10000"/>
            <a:gd name="connsiteX4" fmla="*/ 10000 w 10000"/>
            <a:gd name="connsiteY4" fmla="*/ 10000 h 10000"/>
            <a:gd name="connsiteX0" fmla="*/ 0 w 10000"/>
            <a:gd name="connsiteY0" fmla="*/ 9642 h 9668"/>
            <a:gd name="connsiteX1" fmla="*/ 0 w 10000"/>
            <a:gd name="connsiteY1" fmla="*/ 5360 h 9668"/>
            <a:gd name="connsiteX2" fmla="*/ 6044 w 10000"/>
            <a:gd name="connsiteY2" fmla="*/ 0 h 9668"/>
            <a:gd name="connsiteX3" fmla="*/ 9921 w 10000"/>
            <a:gd name="connsiteY3" fmla="*/ 31 h 9668"/>
            <a:gd name="connsiteX4" fmla="*/ 10000 w 10000"/>
            <a:gd name="connsiteY4" fmla="*/ 9668 h 9668"/>
            <a:gd name="connsiteX0" fmla="*/ 0 w 10000"/>
            <a:gd name="connsiteY0" fmla="*/ 9973 h 10000"/>
            <a:gd name="connsiteX1" fmla="*/ 0 w 10000"/>
            <a:gd name="connsiteY1" fmla="*/ 7087 h 10000"/>
            <a:gd name="connsiteX2" fmla="*/ 6044 w 10000"/>
            <a:gd name="connsiteY2" fmla="*/ 0 h 10000"/>
            <a:gd name="connsiteX3" fmla="*/ 9921 w 10000"/>
            <a:gd name="connsiteY3" fmla="*/ 32 h 10000"/>
            <a:gd name="connsiteX4" fmla="*/ 10000 w 10000"/>
            <a:gd name="connsiteY4" fmla="*/ 10000 h 10000"/>
            <a:gd name="connsiteX0" fmla="*/ 0 w 10000"/>
            <a:gd name="connsiteY0" fmla="*/ 9973 h 10000"/>
            <a:gd name="connsiteX1" fmla="*/ 0 w 10000"/>
            <a:gd name="connsiteY1" fmla="*/ 7087 h 10000"/>
            <a:gd name="connsiteX2" fmla="*/ 3251 w 10000"/>
            <a:gd name="connsiteY2" fmla="*/ 3310 h 10000"/>
            <a:gd name="connsiteX3" fmla="*/ 6044 w 10000"/>
            <a:gd name="connsiteY3" fmla="*/ 0 h 10000"/>
            <a:gd name="connsiteX4" fmla="*/ 9921 w 10000"/>
            <a:gd name="connsiteY4" fmla="*/ 32 h 10000"/>
            <a:gd name="connsiteX5" fmla="*/ 10000 w 10000"/>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47 w 10021"/>
            <a:gd name="connsiteY2" fmla="*/ 2895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06 w 10021"/>
            <a:gd name="connsiteY2" fmla="*/ 3033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81 h 10008"/>
            <a:gd name="connsiteX1" fmla="*/ 0 w 10021"/>
            <a:gd name="connsiteY1" fmla="*/ 6482 h 10008"/>
            <a:gd name="connsiteX2" fmla="*/ 1906 w 10021"/>
            <a:gd name="connsiteY2" fmla="*/ 3041 h 10008"/>
            <a:gd name="connsiteX3" fmla="*/ 6065 w 10021"/>
            <a:gd name="connsiteY3" fmla="*/ 8 h 10008"/>
            <a:gd name="connsiteX4" fmla="*/ 9942 w 10021"/>
            <a:gd name="connsiteY4" fmla="*/ 0 h 10008"/>
            <a:gd name="connsiteX5" fmla="*/ 10021 w 10021"/>
            <a:gd name="connsiteY5" fmla="*/ 10008 h 10008"/>
            <a:gd name="connsiteX0" fmla="*/ 21 w 10021"/>
            <a:gd name="connsiteY0" fmla="*/ 10013 h 10040"/>
            <a:gd name="connsiteX1" fmla="*/ 0 w 10021"/>
            <a:gd name="connsiteY1" fmla="*/ 6514 h 10040"/>
            <a:gd name="connsiteX2" fmla="*/ 1906 w 10021"/>
            <a:gd name="connsiteY2" fmla="*/ 3073 h 10040"/>
            <a:gd name="connsiteX3" fmla="*/ 6127 w 10021"/>
            <a:gd name="connsiteY3" fmla="*/ 0 h 10040"/>
            <a:gd name="connsiteX4" fmla="*/ 9942 w 10021"/>
            <a:gd name="connsiteY4" fmla="*/ 32 h 10040"/>
            <a:gd name="connsiteX5" fmla="*/ 10021 w 10021"/>
            <a:gd name="connsiteY5" fmla="*/ 10040 h 10040"/>
            <a:gd name="connsiteX0" fmla="*/ 21 w 10021"/>
            <a:gd name="connsiteY0" fmla="*/ 10021 h 10048"/>
            <a:gd name="connsiteX1" fmla="*/ 0 w 10021"/>
            <a:gd name="connsiteY1" fmla="*/ 6522 h 10048"/>
            <a:gd name="connsiteX2" fmla="*/ 1906 w 10021"/>
            <a:gd name="connsiteY2" fmla="*/ 3081 h 10048"/>
            <a:gd name="connsiteX3" fmla="*/ 6127 w 10021"/>
            <a:gd name="connsiteY3" fmla="*/ 8 h 10048"/>
            <a:gd name="connsiteX4" fmla="*/ 9880 w 10021"/>
            <a:gd name="connsiteY4" fmla="*/ 0 h 10048"/>
            <a:gd name="connsiteX5" fmla="*/ 10021 w 10021"/>
            <a:gd name="connsiteY5" fmla="*/ 10048 h 10048"/>
            <a:gd name="connsiteX0" fmla="*/ 21 w 10021"/>
            <a:gd name="connsiteY0" fmla="*/ 10021 h 10048"/>
            <a:gd name="connsiteX1" fmla="*/ 0 w 10021"/>
            <a:gd name="connsiteY1" fmla="*/ 6522 h 10048"/>
            <a:gd name="connsiteX2" fmla="*/ 1906 w 10021"/>
            <a:gd name="connsiteY2" fmla="*/ 3081 h 10048"/>
            <a:gd name="connsiteX3" fmla="*/ 6075 w 10021"/>
            <a:gd name="connsiteY3" fmla="*/ 8 h 10048"/>
            <a:gd name="connsiteX4" fmla="*/ 9880 w 10021"/>
            <a:gd name="connsiteY4" fmla="*/ 0 h 10048"/>
            <a:gd name="connsiteX5" fmla="*/ 10021 w 10021"/>
            <a:gd name="connsiteY5" fmla="*/ 10048 h 10048"/>
            <a:gd name="connsiteX0" fmla="*/ 21 w 10021"/>
            <a:gd name="connsiteY0" fmla="*/ 10021 h 10048"/>
            <a:gd name="connsiteX1" fmla="*/ 0 w 10021"/>
            <a:gd name="connsiteY1" fmla="*/ 6522 h 10048"/>
            <a:gd name="connsiteX2" fmla="*/ 1906 w 10021"/>
            <a:gd name="connsiteY2" fmla="*/ 3081 h 10048"/>
            <a:gd name="connsiteX3" fmla="*/ 6052 w 10021"/>
            <a:gd name="connsiteY3" fmla="*/ 8 h 10048"/>
            <a:gd name="connsiteX4" fmla="*/ 9880 w 10021"/>
            <a:gd name="connsiteY4" fmla="*/ 0 h 10048"/>
            <a:gd name="connsiteX5" fmla="*/ 10021 w 10021"/>
            <a:gd name="connsiteY5" fmla="*/ 10048 h 10048"/>
            <a:gd name="connsiteX0" fmla="*/ 21 w 10021"/>
            <a:gd name="connsiteY0" fmla="*/ 10021 h 10048"/>
            <a:gd name="connsiteX1" fmla="*/ 0 w 10021"/>
            <a:gd name="connsiteY1" fmla="*/ 6522 h 10048"/>
            <a:gd name="connsiteX2" fmla="*/ 1865 w 10021"/>
            <a:gd name="connsiteY2" fmla="*/ 3081 h 10048"/>
            <a:gd name="connsiteX3" fmla="*/ 6052 w 10021"/>
            <a:gd name="connsiteY3" fmla="*/ 8 h 10048"/>
            <a:gd name="connsiteX4" fmla="*/ 9880 w 10021"/>
            <a:gd name="connsiteY4" fmla="*/ 0 h 10048"/>
            <a:gd name="connsiteX5" fmla="*/ 10021 w 10021"/>
            <a:gd name="connsiteY5" fmla="*/ 10048 h 10048"/>
            <a:gd name="connsiteX0" fmla="*/ 73 w 10073"/>
            <a:gd name="connsiteY0" fmla="*/ 10021 h 10048"/>
            <a:gd name="connsiteX1" fmla="*/ 0 w 10073"/>
            <a:gd name="connsiteY1" fmla="*/ 6528 h 10048"/>
            <a:gd name="connsiteX2" fmla="*/ 1917 w 10073"/>
            <a:gd name="connsiteY2" fmla="*/ 3081 h 10048"/>
            <a:gd name="connsiteX3" fmla="*/ 6104 w 10073"/>
            <a:gd name="connsiteY3" fmla="*/ 8 h 10048"/>
            <a:gd name="connsiteX4" fmla="*/ 9932 w 10073"/>
            <a:gd name="connsiteY4" fmla="*/ 0 h 10048"/>
            <a:gd name="connsiteX5" fmla="*/ 10073 w 10073"/>
            <a:gd name="connsiteY5" fmla="*/ 10048 h 10048"/>
            <a:gd name="connsiteX0" fmla="*/ 3 w 10073"/>
            <a:gd name="connsiteY0" fmla="*/ 10015 h 10048"/>
            <a:gd name="connsiteX1" fmla="*/ 0 w 10073"/>
            <a:gd name="connsiteY1" fmla="*/ 6528 h 10048"/>
            <a:gd name="connsiteX2" fmla="*/ 1917 w 10073"/>
            <a:gd name="connsiteY2" fmla="*/ 3081 h 10048"/>
            <a:gd name="connsiteX3" fmla="*/ 6104 w 10073"/>
            <a:gd name="connsiteY3" fmla="*/ 8 h 10048"/>
            <a:gd name="connsiteX4" fmla="*/ 9932 w 10073"/>
            <a:gd name="connsiteY4" fmla="*/ 0 h 10048"/>
            <a:gd name="connsiteX5" fmla="*/ 10073 w 10073"/>
            <a:gd name="connsiteY5" fmla="*/ 10048 h 10048"/>
            <a:gd name="connsiteX0" fmla="*/ 3 w 9939"/>
            <a:gd name="connsiteY0" fmla="*/ 10015 h 10015"/>
            <a:gd name="connsiteX1" fmla="*/ 0 w 9939"/>
            <a:gd name="connsiteY1" fmla="*/ 6528 h 10015"/>
            <a:gd name="connsiteX2" fmla="*/ 1917 w 9939"/>
            <a:gd name="connsiteY2" fmla="*/ 3081 h 10015"/>
            <a:gd name="connsiteX3" fmla="*/ 6104 w 9939"/>
            <a:gd name="connsiteY3" fmla="*/ 8 h 10015"/>
            <a:gd name="connsiteX4" fmla="*/ 9932 w 9939"/>
            <a:gd name="connsiteY4" fmla="*/ 0 h 10015"/>
            <a:gd name="connsiteX5" fmla="*/ 9934 w 9939"/>
            <a:gd name="connsiteY5" fmla="*/ 9998 h 10015"/>
            <a:gd name="connsiteX0" fmla="*/ 3 w 10000"/>
            <a:gd name="connsiteY0" fmla="*/ 10000 h 10000"/>
            <a:gd name="connsiteX1" fmla="*/ 0 w 10000"/>
            <a:gd name="connsiteY1" fmla="*/ 6518 h 10000"/>
            <a:gd name="connsiteX2" fmla="*/ 2022 w 10000"/>
            <a:gd name="connsiteY2" fmla="*/ 3070 h 10000"/>
            <a:gd name="connsiteX3" fmla="*/ 6141 w 10000"/>
            <a:gd name="connsiteY3" fmla="*/ 8 h 10000"/>
            <a:gd name="connsiteX4" fmla="*/ 9993 w 10000"/>
            <a:gd name="connsiteY4" fmla="*/ 0 h 10000"/>
            <a:gd name="connsiteX5" fmla="*/ 9995 w 10000"/>
            <a:gd name="connsiteY5" fmla="*/ 9983 h 10000"/>
            <a:gd name="connsiteX0" fmla="*/ 3 w 10000"/>
            <a:gd name="connsiteY0" fmla="*/ 10000 h 10000"/>
            <a:gd name="connsiteX1" fmla="*/ 0 w 10000"/>
            <a:gd name="connsiteY1" fmla="*/ 6518 h 10000"/>
            <a:gd name="connsiteX2" fmla="*/ 1975 w 10000"/>
            <a:gd name="connsiteY2" fmla="*/ 3070 h 10000"/>
            <a:gd name="connsiteX3" fmla="*/ 6141 w 10000"/>
            <a:gd name="connsiteY3" fmla="*/ 8 h 10000"/>
            <a:gd name="connsiteX4" fmla="*/ 9993 w 10000"/>
            <a:gd name="connsiteY4" fmla="*/ 0 h 10000"/>
            <a:gd name="connsiteX5" fmla="*/ 9995 w 10000"/>
            <a:gd name="connsiteY5" fmla="*/ 9983 h 10000"/>
            <a:gd name="connsiteX0" fmla="*/ 3 w 10000"/>
            <a:gd name="connsiteY0" fmla="*/ 10014 h 10014"/>
            <a:gd name="connsiteX1" fmla="*/ 0 w 10000"/>
            <a:gd name="connsiteY1" fmla="*/ 6532 h 10014"/>
            <a:gd name="connsiteX2" fmla="*/ 1975 w 10000"/>
            <a:gd name="connsiteY2" fmla="*/ 3084 h 10014"/>
            <a:gd name="connsiteX3" fmla="*/ 6147 w 10000"/>
            <a:gd name="connsiteY3" fmla="*/ 0 h 10014"/>
            <a:gd name="connsiteX4" fmla="*/ 9993 w 10000"/>
            <a:gd name="connsiteY4" fmla="*/ 14 h 10014"/>
            <a:gd name="connsiteX5" fmla="*/ 9995 w 10000"/>
            <a:gd name="connsiteY5" fmla="*/ 9997 h 10014"/>
            <a:gd name="connsiteX0" fmla="*/ 3 w 10000"/>
            <a:gd name="connsiteY0" fmla="*/ 10014 h 10014"/>
            <a:gd name="connsiteX1" fmla="*/ 0 w 10000"/>
            <a:gd name="connsiteY1" fmla="*/ 6433 h 10014"/>
            <a:gd name="connsiteX2" fmla="*/ 1975 w 10000"/>
            <a:gd name="connsiteY2" fmla="*/ 3084 h 10014"/>
            <a:gd name="connsiteX3" fmla="*/ 6147 w 10000"/>
            <a:gd name="connsiteY3" fmla="*/ 0 h 10014"/>
            <a:gd name="connsiteX4" fmla="*/ 9993 w 10000"/>
            <a:gd name="connsiteY4" fmla="*/ 14 h 10014"/>
            <a:gd name="connsiteX5" fmla="*/ 9995 w 10000"/>
            <a:gd name="connsiteY5" fmla="*/ 9997 h 10014"/>
            <a:gd name="connsiteX0" fmla="*/ 3 w 10000"/>
            <a:gd name="connsiteY0" fmla="*/ 10014 h 10014"/>
            <a:gd name="connsiteX1" fmla="*/ 0 w 10000"/>
            <a:gd name="connsiteY1" fmla="*/ 6433 h 10014"/>
            <a:gd name="connsiteX2" fmla="*/ 2100 w 10000"/>
            <a:gd name="connsiteY2" fmla="*/ 3123 h 10014"/>
            <a:gd name="connsiteX3" fmla="*/ 6147 w 10000"/>
            <a:gd name="connsiteY3" fmla="*/ 0 h 10014"/>
            <a:gd name="connsiteX4" fmla="*/ 9993 w 10000"/>
            <a:gd name="connsiteY4" fmla="*/ 14 h 10014"/>
            <a:gd name="connsiteX5" fmla="*/ 9995 w 10000"/>
            <a:gd name="connsiteY5" fmla="*/ 9997 h 10014"/>
            <a:gd name="connsiteX0" fmla="*/ 3 w 10000"/>
            <a:gd name="connsiteY0" fmla="*/ 10014 h 10014"/>
            <a:gd name="connsiteX1" fmla="*/ 0 w 10000"/>
            <a:gd name="connsiteY1" fmla="*/ 6433 h 10014"/>
            <a:gd name="connsiteX2" fmla="*/ 2100 w 10000"/>
            <a:gd name="connsiteY2" fmla="*/ 3123 h 10014"/>
            <a:gd name="connsiteX3" fmla="*/ 2990 w 10000"/>
            <a:gd name="connsiteY3" fmla="*/ 2420 h 10014"/>
            <a:gd name="connsiteX4" fmla="*/ 6147 w 10000"/>
            <a:gd name="connsiteY4" fmla="*/ 0 h 10014"/>
            <a:gd name="connsiteX5" fmla="*/ 9993 w 10000"/>
            <a:gd name="connsiteY5" fmla="*/ 14 h 10014"/>
            <a:gd name="connsiteX6" fmla="*/ 9995 w 10000"/>
            <a:gd name="connsiteY6" fmla="*/ 9997 h 100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000" h="10014">
              <a:moveTo>
                <a:pt x="3" y="10014"/>
              </a:moveTo>
              <a:cubicBezTo>
                <a:pt x="-4" y="8850"/>
                <a:pt x="7" y="7597"/>
                <a:pt x="0" y="6433"/>
              </a:cubicBezTo>
              <a:lnTo>
                <a:pt x="2100" y="3123"/>
              </a:lnTo>
              <a:lnTo>
                <a:pt x="2990" y="2420"/>
              </a:lnTo>
              <a:lnTo>
                <a:pt x="6147" y="0"/>
              </a:lnTo>
              <a:lnTo>
                <a:pt x="9993" y="14"/>
              </a:lnTo>
              <a:cubicBezTo>
                <a:pt x="10019" y="3457"/>
                <a:pt x="9969" y="6555"/>
                <a:pt x="9995" y="9997"/>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27</xdr:row>
      <xdr:rowOff>60960</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4200525" y="4516755"/>
          <a:ext cx="1150620" cy="53530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C182T (230 HP)</a:t>
          </a:r>
        </a:p>
        <a:p>
          <a:pPr algn="ctr" rtl="0">
            <a:defRPr sz="1000"/>
          </a:pPr>
          <a:r>
            <a:rPr lang="en-US" sz="800" b="0" i="1" u="none" strike="noStrike" baseline="0">
              <a:solidFill>
                <a:srgbClr val="FF0000"/>
              </a:solidFill>
              <a:latin typeface="Arial"/>
              <a:cs typeface="Arial"/>
            </a:rPr>
            <a:t>Dashed red line is LANDING weight limit.</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0900-000005000000}"/>
            </a:ext>
          </a:extLst>
        </xdr:cNvPr>
        <xdr:cNvGrpSpPr>
          <a:grpSpLocks/>
        </xdr:cNvGrpSpPr>
      </xdr:nvGrpSpPr>
      <xdr:grpSpPr bwMode="auto">
        <a:xfrm>
          <a:off x="1028700" y="990600"/>
          <a:ext cx="1152525" cy="1476375"/>
          <a:chOff x="108" y="43"/>
          <a:chExt cx="121" cy="163"/>
        </a:xfrm>
      </xdr:grpSpPr>
      <xdr:sp macro="" textlink="">
        <xdr:nvSpPr>
          <xdr:cNvPr id="6" name="Freeform 10">
            <a:extLst>
              <a:ext uri="{FF2B5EF4-FFF2-40B4-BE49-F238E27FC236}">
                <a16:creationId xmlns:a16="http://schemas.microsoft.com/office/drawing/2014/main" id="{00000000-0008-0000-09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09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0900-000008000000}"/>
            </a:ext>
          </a:extLst>
        </xdr:cNvPr>
        <xdr:cNvSpPr txBox="1">
          <a:spLocks noChangeArrowheads="1"/>
        </xdr:cNvSpPr>
      </xdr:nvSpPr>
      <xdr:spPr bwMode="auto">
        <a:xfrm>
          <a:off x="3507105" y="554926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0900-000009000000}"/>
            </a:ext>
          </a:extLst>
        </xdr:cNvPr>
        <xdr:cNvSpPr txBox="1">
          <a:spLocks noChangeArrowheads="1"/>
        </xdr:cNvSpPr>
      </xdr:nvSpPr>
      <xdr:spPr bwMode="auto">
        <a:xfrm>
          <a:off x="5808345" y="4044315"/>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04785" y="34671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0900-00000B000000}"/>
            </a:ext>
          </a:extLst>
        </xdr:cNvPr>
        <xdr:cNvSpPr>
          <a:spLocks/>
        </xdr:cNvSpPr>
      </xdr:nvSpPr>
      <xdr:spPr bwMode="auto">
        <a:xfrm>
          <a:off x="9235440" y="1525905"/>
          <a:ext cx="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0900-00000C000000}"/>
            </a:ext>
          </a:extLst>
        </xdr:cNvPr>
        <xdr:cNvSpPr>
          <a:spLocks/>
        </xdr:cNvSpPr>
      </xdr:nvSpPr>
      <xdr:spPr bwMode="auto">
        <a:xfrm>
          <a:off x="9235440" y="1583055"/>
          <a:ext cx="0"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6476 w 1247775"/>
            <a:gd name="connsiteY2" fmla="*/ 256982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42487 w 1247775"/>
            <a:gd name="connsiteY2" fmla="*/ 207143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42487" y="207143"/>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12</xdr:col>
      <xdr:colOff>38100</xdr:colOff>
      <xdr:row>28</xdr:row>
      <xdr:rowOff>22857</xdr:rowOff>
    </xdr:from>
    <xdr:to>
      <xdr:col>12</xdr:col>
      <xdr:colOff>2014924</xdr:colOff>
      <xdr:row>28</xdr:row>
      <xdr:rowOff>83818</xdr:rowOff>
    </xdr:to>
    <xdr:sp macro="" textlink="">
      <xdr:nvSpPr>
        <xdr:cNvPr id="13" name="Freeform 12">
          <a:extLst>
            <a:ext uri="{FF2B5EF4-FFF2-40B4-BE49-F238E27FC236}">
              <a16:creationId xmlns:a16="http://schemas.microsoft.com/office/drawing/2014/main" id="{00000000-0008-0000-0900-00000D000000}"/>
            </a:ext>
          </a:extLst>
        </xdr:cNvPr>
        <xdr:cNvSpPr/>
      </xdr:nvSpPr>
      <xdr:spPr bwMode="auto">
        <a:xfrm flipV="1">
          <a:off x="6118860" y="5189217"/>
          <a:ext cx="1976824" cy="60961"/>
        </a:xfrm>
        <a:custGeom>
          <a:avLst/>
          <a:gdLst>
            <a:gd name="connsiteX0" fmla="*/ 0 w 1813560"/>
            <a:gd name="connsiteY0" fmla="*/ 0 h 0"/>
            <a:gd name="connsiteX1" fmla="*/ 1813560 w 1813560"/>
            <a:gd name="connsiteY1" fmla="*/ 0 h 0"/>
          </a:gdLst>
          <a:ahLst/>
          <a:cxnLst>
            <a:cxn ang="0">
              <a:pos x="connsiteX0" y="connsiteY0"/>
            </a:cxn>
            <a:cxn ang="0">
              <a:pos x="connsiteX1" y="connsiteY1"/>
            </a:cxn>
          </a:cxnLst>
          <a:rect l="l" t="t" r="r" b="b"/>
          <a:pathLst>
            <a:path w="1813560">
              <a:moveTo>
                <a:pt x="0" y="0"/>
              </a:moveTo>
              <a:lnTo>
                <a:pt x="1813560" y="0"/>
              </a:lnTo>
            </a:path>
          </a:pathLst>
        </a:custGeom>
        <a:noFill/>
        <a:ln w="19050" cap="flat" cmpd="sng" algn="ctr">
          <a:solidFill>
            <a:srgbClr val="FF0000"/>
          </a:solidFill>
          <a:prstDash val="dash"/>
          <a:round/>
          <a:headEnd type="none" w="med" len="med"/>
          <a:tailEnd type="none" w="med" len="med"/>
        </a:ln>
        <a:effectLst/>
      </xdr:spPr>
      <xdr:txBody>
        <a:bodyPr vertOverflow="clip" horzOverflow="clip" wrap="square" lIns="18288" tIns="0" rIns="0" bIns="0" rtlCol="0" anchor="t" upright="1">
          <a:spAutoFit/>
        </a:bodyPr>
        <a:lstStyle/>
        <a:p>
          <a:pPr algn="l"/>
          <a:endParaRPr lang="en-US" sz="1100"/>
        </a:p>
      </xdr:txBody>
    </xdr:sp>
    <xdr:clientData/>
  </xdr:twoCellAnchor>
  <xdr:twoCellAnchor>
    <xdr:from>
      <xdr:col>26</xdr:col>
      <xdr:colOff>38100</xdr:colOff>
      <xdr:row>9</xdr:row>
      <xdr:rowOff>91440</xdr:rowOff>
    </xdr:from>
    <xdr:to>
      <xdr:col>26</xdr:col>
      <xdr:colOff>167640</xdr:colOff>
      <xdr:row>9</xdr:row>
      <xdr:rowOff>114300</xdr:rowOff>
    </xdr:to>
    <xdr:sp macro="" textlink="">
      <xdr:nvSpPr>
        <xdr:cNvPr id="14" name="Freeform 13">
          <a:extLst>
            <a:ext uri="{FF2B5EF4-FFF2-40B4-BE49-F238E27FC236}">
              <a16:creationId xmlns:a16="http://schemas.microsoft.com/office/drawing/2014/main" id="{00000000-0008-0000-0900-00000E000000}"/>
            </a:ext>
          </a:extLst>
        </xdr:cNvPr>
        <xdr:cNvSpPr/>
      </xdr:nvSpPr>
      <xdr:spPr bwMode="auto">
        <a:xfrm>
          <a:off x="9235440" y="1798320"/>
          <a:ext cx="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30480</xdr:colOff>
      <xdr:row>9</xdr:row>
      <xdr:rowOff>106680</xdr:rowOff>
    </xdr:from>
    <xdr:to>
      <xdr:col>31</xdr:col>
      <xdr:colOff>160020</xdr:colOff>
      <xdr:row>9</xdr:row>
      <xdr:rowOff>129540</xdr:rowOff>
    </xdr:to>
    <xdr:sp macro="" textlink="">
      <xdr:nvSpPr>
        <xdr:cNvPr id="15" name="Freeform 14">
          <a:extLst>
            <a:ext uri="{FF2B5EF4-FFF2-40B4-BE49-F238E27FC236}">
              <a16:creationId xmlns:a16="http://schemas.microsoft.com/office/drawing/2014/main" id="{00000000-0008-0000-0900-00000F000000}"/>
            </a:ext>
          </a:extLst>
        </xdr:cNvPr>
        <xdr:cNvSpPr/>
      </xdr:nvSpPr>
      <xdr:spPr bwMode="auto">
        <a:xfrm>
          <a:off x="9235440" y="1813560"/>
          <a:ext cx="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64770</xdr:colOff>
      <xdr:row>32</xdr:row>
      <xdr:rowOff>9525</xdr:rowOff>
    </xdr:from>
    <xdr:to>
      <xdr:col>27</xdr:col>
      <xdr:colOff>560070</xdr:colOff>
      <xdr:row>40</xdr:row>
      <xdr:rowOff>32385</xdr:rowOff>
    </xdr:to>
    <xdr:sp macro="" textlink="">
      <xdr:nvSpPr>
        <xdr:cNvPr id="16" name="Freeform 26">
          <a:extLst>
            <a:ext uri="{FF2B5EF4-FFF2-40B4-BE49-F238E27FC236}">
              <a16:creationId xmlns:a16="http://schemas.microsoft.com/office/drawing/2014/main" id="{00000000-0008-0000-0900-000010000000}"/>
            </a:ext>
          </a:extLst>
        </xdr:cNvPr>
        <xdr:cNvSpPr>
          <a:spLocks/>
        </xdr:cNvSpPr>
      </xdr:nvSpPr>
      <xdr:spPr bwMode="auto">
        <a:xfrm>
          <a:off x="9235440" y="5907405"/>
          <a:ext cx="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26670</xdr:colOff>
      <xdr:row>32</xdr:row>
      <xdr:rowOff>40005</xdr:rowOff>
    </xdr:from>
    <xdr:to>
      <xdr:col>32</xdr:col>
      <xdr:colOff>521970</xdr:colOff>
      <xdr:row>40</xdr:row>
      <xdr:rowOff>62865</xdr:rowOff>
    </xdr:to>
    <xdr:sp macro="" textlink="">
      <xdr:nvSpPr>
        <xdr:cNvPr id="17" name="Freeform 26">
          <a:extLst>
            <a:ext uri="{FF2B5EF4-FFF2-40B4-BE49-F238E27FC236}">
              <a16:creationId xmlns:a16="http://schemas.microsoft.com/office/drawing/2014/main" id="{00000000-0008-0000-0900-000011000000}"/>
            </a:ext>
          </a:extLst>
        </xdr:cNvPr>
        <xdr:cNvSpPr>
          <a:spLocks/>
        </xdr:cNvSpPr>
      </xdr:nvSpPr>
      <xdr:spPr bwMode="auto">
        <a:xfrm>
          <a:off x="9235440" y="5937885"/>
          <a:ext cx="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38100</xdr:colOff>
      <xdr:row>33</xdr:row>
      <xdr:rowOff>121920</xdr:rowOff>
    </xdr:from>
    <xdr:to>
      <xdr:col>26</xdr:col>
      <xdr:colOff>167640</xdr:colOff>
      <xdr:row>33</xdr:row>
      <xdr:rowOff>144780</xdr:rowOff>
    </xdr:to>
    <xdr:sp macro="" textlink="">
      <xdr:nvSpPr>
        <xdr:cNvPr id="18" name="Freeform 17">
          <a:extLst>
            <a:ext uri="{FF2B5EF4-FFF2-40B4-BE49-F238E27FC236}">
              <a16:creationId xmlns:a16="http://schemas.microsoft.com/office/drawing/2014/main" id="{00000000-0008-0000-0900-000012000000}"/>
            </a:ext>
          </a:extLst>
        </xdr:cNvPr>
        <xdr:cNvSpPr/>
      </xdr:nvSpPr>
      <xdr:spPr bwMode="auto">
        <a:xfrm>
          <a:off x="9235440" y="6187440"/>
          <a:ext cx="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38100</xdr:colOff>
      <xdr:row>59</xdr:row>
      <xdr:rowOff>38100</xdr:rowOff>
    </xdr:from>
    <xdr:to>
      <xdr:col>26</xdr:col>
      <xdr:colOff>167640</xdr:colOff>
      <xdr:row>59</xdr:row>
      <xdr:rowOff>60960</xdr:rowOff>
    </xdr:to>
    <xdr:sp macro="" textlink="">
      <xdr:nvSpPr>
        <xdr:cNvPr id="19" name="Freeform 18">
          <a:extLst>
            <a:ext uri="{FF2B5EF4-FFF2-40B4-BE49-F238E27FC236}">
              <a16:creationId xmlns:a16="http://schemas.microsoft.com/office/drawing/2014/main" id="{00000000-0008-0000-0900-000013000000}"/>
            </a:ext>
          </a:extLst>
        </xdr:cNvPr>
        <xdr:cNvSpPr/>
      </xdr:nvSpPr>
      <xdr:spPr bwMode="auto">
        <a:xfrm>
          <a:off x="9235440" y="10607040"/>
          <a:ext cx="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0</xdr:colOff>
      <xdr:row>33</xdr:row>
      <xdr:rowOff>114300</xdr:rowOff>
    </xdr:from>
    <xdr:to>
      <xdr:col>31</xdr:col>
      <xdr:colOff>129540</xdr:colOff>
      <xdr:row>33</xdr:row>
      <xdr:rowOff>137160</xdr:rowOff>
    </xdr:to>
    <xdr:sp macro="" textlink="">
      <xdr:nvSpPr>
        <xdr:cNvPr id="20" name="Freeform 19">
          <a:extLst>
            <a:ext uri="{FF2B5EF4-FFF2-40B4-BE49-F238E27FC236}">
              <a16:creationId xmlns:a16="http://schemas.microsoft.com/office/drawing/2014/main" id="{00000000-0008-0000-0900-000014000000}"/>
            </a:ext>
          </a:extLst>
        </xdr:cNvPr>
        <xdr:cNvSpPr/>
      </xdr:nvSpPr>
      <xdr:spPr bwMode="auto">
        <a:xfrm>
          <a:off x="9235440" y="6179820"/>
          <a:ext cx="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oneCellAnchor>
    <xdr:from>
      <xdr:col>1</xdr:col>
      <xdr:colOff>0</xdr:colOff>
      <xdr:row>13</xdr:row>
      <xdr:rowOff>0</xdr:rowOff>
    </xdr:from>
    <xdr:ext cx="370486" cy="180819"/>
    <xdr:sp macro="" textlink="">
      <xdr:nvSpPr>
        <xdr:cNvPr id="21" name="TextBox 20">
          <a:extLst>
            <a:ext uri="{FF2B5EF4-FFF2-40B4-BE49-F238E27FC236}">
              <a16:creationId xmlns:a16="http://schemas.microsoft.com/office/drawing/2014/main" id="{00000000-0008-0000-0900-000015000000}"/>
            </a:ext>
          </a:extLst>
        </xdr:cNvPr>
        <xdr:cNvSpPr txBox="1"/>
      </xdr:nvSpPr>
      <xdr:spPr>
        <a:xfrm>
          <a:off x="91440" y="2468880"/>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12</xdr:col>
      <xdr:colOff>49092</xdr:colOff>
      <xdr:row>25</xdr:row>
      <xdr:rowOff>115260</xdr:rowOff>
    </xdr:from>
    <xdr:to>
      <xdr:col>12</xdr:col>
      <xdr:colOff>2026920</xdr:colOff>
      <xdr:row>28</xdr:row>
      <xdr:rowOff>76200</xdr:rowOff>
    </xdr:to>
    <xdr:sp macro="" textlink="">
      <xdr:nvSpPr>
        <xdr:cNvPr id="22" name="Freeform 21">
          <a:extLst>
            <a:ext uri="{FF2B5EF4-FFF2-40B4-BE49-F238E27FC236}">
              <a16:creationId xmlns:a16="http://schemas.microsoft.com/office/drawing/2014/main" id="{00000000-0008-0000-0900-000016000000}"/>
            </a:ext>
          </a:extLst>
        </xdr:cNvPr>
        <xdr:cNvSpPr/>
      </xdr:nvSpPr>
      <xdr:spPr bwMode="auto">
        <a:xfrm>
          <a:off x="6129852" y="4771080"/>
          <a:ext cx="1977828" cy="471480"/>
        </a:xfrm>
        <a:custGeom>
          <a:avLst/>
          <a:gdLst>
            <a:gd name="connsiteX0" fmla="*/ 381000 w 1805940"/>
            <a:gd name="connsiteY0" fmla="*/ 0 h 495300"/>
            <a:gd name="connsiteX1" fmla="*/ 1798320 w 1805940"/>
            <a:gd name="connsiteY1" fmla="*/ 15240 h 495300"/>
            <a:gd name="connsiteX2" fmla="*/ 1805940 w 1805940"/>
            <a:gd name="connsiteY2" fmla="*/ 495300 h 495300"/>
            <a:gd name="connsiteX3" fmla="*/ 0 w 1805940"/>
            <a:gd name="connsiteY3" fmla="*/ 487680 h 495300"/>
            <a:gd name="connsiteX4" fmla="*/ 381000 w 1805940"/>
            <a:gd name="connsiteY4" fmla="*/ 0 h 495300"/>
            <a:gd name="connsiteX0" fmla="*/ 381000 w 1882140"/>
            <a:gd name="connsiteY0" fmla="*/ 0 h 495300"/>
            <a:gd name="connsiteX1" fmla="*/ 1882140 w 1882140"/>
            <a:gd name="connsiteY1" fmla="*/ 76200 h 495300"/>
            <a:gd name="connsiteX2" fmla="*/ 1805940 w 1882140"/>
            <a:gd name="connsiteY2" fmla="*/ 495300 h 495300"/>
            <a:gd name="connsiteX3" fmla="*/ 0 w 1882140"/>
            <a:gd name="connsiteY3" fmla="*/ 487680 h 495300"/>
            <a:gd name="connsiteX4" fmla="*/ 381000 w 1882140"/>
            <a:gd name="connsiteY4" fmla="*/ 0 h 495300"/>
            <a:gd name="connsiteX0" fmla="*/ 381000 w 1882140"/>
            <a:gd name="connsiteY0" fmla="*/ 0 h 533400"/>
            <a:gd name="connsiteX1" fmla="*/ 1882140 w 1882140"/>
            <a:gd name="connsiteY1" fmla="*/ 76200 h 533400"/>
            <a:gd name="connsiteX2" fmla="*/ 1874520 w 1882140"/>
            <a:gd name="connsiteY2" fmla="*/ 533400 h 533400"/>
            <a:gd name="connsiteX3" fmla="*/ 0 w 1882140"/>
            <a:gd name="connsiteY3" fmla="*/ 487680 h 533400"/>
            <a:gd name="connsiteX4" fmla="*/ 381000 w 1882140"/>
            <a:gd name="connsiteY4" fmla="*/ 0 h 53340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289560 w 1790700"/>
            <a:gd name="connsiteY0" fmla="*/ 0 h 541020"/>
            <a:gd name="connsiteX1" fmla="*/ 429260 w 1790700"/>
            <a:gd name="connsiteY1" fmla="*/ 40640 h 541020"/>
            <a:gd name="connsiteX2" fmla="*/ 1790700 w 1790700"/>
            <a:gd name="connsiteY2" fmla="*/ 76200 h 541020"/>
            <a:gd name="connsiteX3" fmla="*/ 1783080 w 1790700"/>
            <a:gd name="connsiteY3" fmla="*/ 533400 h 541020"/>
            <a:gd name="connsiteX4" fmla="*/ 0 w 1790700"/>
            <a:gd name="connsiteY4" fmla="*/ 541020 h 541020"/>
            <a:gd name="connsiteX5" fmla="*/ 289560 w 1790700"/>
            <a:gd name="connsiteY5" fmla="*/ 0 h 541020"/>
            <a:gd name="connsiteX0" fmla="*/ 289560 w 1790700"/>
            <a:gd name="connsiteY0" fmla="*/ 34560 h 575580"/>
            <a:gd name="connsiteX1" fmla="*/ 1790700 w 1790700"/>
            <a:gd name="connsiteY1" fmla="*/ 110760 h 575580"/>
            <a:gd name="connsiteX2" fmla="*/ 1783080 w 1790700"/>
            <a:gd name="connsiteY2" fmla="*/ 567960 h 575580"/>
            <a:gd name="connsiteX3" fmla="*/ 0 w 1790700"/>
            <a:gd name="connsiteY3" fmla="*/ 575580 h 575580"/>
            <a:gd name="connsiteX4" fmla="*/ 289560 w 1790700"/>
            <a:gd name="connsiteY4" fmla="*/ 34560 h 57558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365760 w 1790700"/>
            <a:gd name="connsiteY0" fmla="*/ 0 h 495300"/>
            <a:gd name="connsiteX1" fmla="*/ 1790700 w 1790700"/>
            <a:gd name="connsiteY1" fmla="*/ 30480 h 495300"/>
            <a:gd name="connsiteX2" fmla="*/ 1783080 w 1790700"/>
            <a:gd name="connsiteY2" fmla="*/ 487680 h 495300"/>
            <a:gd name="connsiteX3" fmla="*/ 0 w 1790700"/>
            <a:gd name="connsiteY3" fmla="*/ 495300 h 495300"/>
            <a:gd name="connsiteX4" fmla="*/ 365760 w 1790700"/>
            <a:gd name="connsiteY4" fmla="*/ 0 h 495300"/>
            <a:gd name="connsiteX0" fmla="*/ 365760 w 1965960"/>
            <a:gd name="connsiteY0" fmla="*/ 0 h 495300"/>
            <a:gd name="connsiteX1" fmla="*/ 1965960 w 1965960"/>
            <a:gd name="connsiteY1" fmla="*/ 0 h 495300"/>
            <a:gd name="connsiteX2" fmla="*/ 1783080 w 1965960"/>
            <a:gd name="connsiteY2" fmla="*/ 487680 h 495300"/>
            <a:gd name="connsiteX3" fmla="*/ 0 w 1965960"/>
            <a:gd name="connsiteY3" fmla="*/ 495300 h 495300"/>
            <a:gd name="connsiteX4" fmla="*/ 365760 w 1965960"/>
            <a:gd name="connsiteY4" fmla="*/ 0 h 495300"/>
            <a:gd name="connsiteX0" fmla="*/ 556260 w 1965960"/>
            <a:gd name="connsiteY0" fmla="*/ 0 h 502920"/>
            <a:gd name="connsiteX1" fmla="*/ 1965960 w 1965960"/>
            <a:gd name="connsiteY1" fmla="*/ 7620 h 502920"/>
            <a:gd name="connsiteX2" fmla="*/ 1783080 w 1965960"/>
            <a:gd name="connsiteY2" fmla="*/ 495300 h 502920"/>
            <a:gd name="connsiteX3" fmla="*/ 0 w 1965960"/>
            <a:gd name="connsiteY3" fmla="*/ 502920 h 502920"/>
            <a:gd name="connsiteX4" fmla="*/ 556260 w 1965960"/>
            <a:gd name="connsiteY4" fmla="*/ 0 h 502920"/>
            <a:gd name="connsiteX0" fmla="*/ 533400 w 1943100"/>
            <a:gd name="connsiteY0" fmla="*/ 0 h 495300"/>
            <a:gd name="connsiteX1" fmla="*/ 1943100 w 1943100"/>
            <a:gd name="connsiteY1" fmla="*/ 7620 h 495300"/>
            <a:gd name="connsiteX2" fmla="*/ 1760220 w 1943100"/>
            <a:gd name="connsiteY2" fmla="*/ 495300 h 495300"/>
            <a:gd name="connsiteX3" fmla="*/ 0 w 1943100"/>
            <a:gd name="connsiteY3" fmla="*/ 426720 h 495300"/>
            <a:gd name="connsiteX4" fmla="*/ 533400 w 1943100"/>
            <a:gd name="connsiteY4" fmla="*/ 0 h 495300"/>
            <a:gd name="connsiteX0" fmla="*/ 533400 w 1958340"/>
            <a:gd name="connsiteY0" fmla="*/ 0 h 434340"/>
            <a:gd name="connsiteX1" fmla="*/ 1943100 w 1958340"/>
            <a:gd name="connsiteY1" fmla="*/ 7620 h 434340"/>
            <a:gd name="connsiteX2" fmla="*/ 1958340 w 1958340"/>
            <a:gd name="connsiteY2" fmla="*/ 434340 h 434340"/>
            <a:gd name="connsiteX3" fmla="*/ 0 w 1958340"/>
            <a:gd name="connsiteY3" fmla="*/ 426720 h 434340"/>
            <a:gd name="connsiteX4" fmla="*/ 533400 w 1958340"/>
            <a:gd name="connsiteY4" fmla="*/ 0 h 4343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58340" h="434340">
              <a:moveTo>
                <a:pt x="533400" y="0"/>
              </a:moveTo>
              <a:lnTo>
                <a:pt x="1943100" y="7620"/>
              </a:lnTo>
              <a:lnTo>
                <a:pt x="1958340" y="434340"/>
              </a:lnTo>
              <a:lnTo>
                <a:pt x="0" y="426720"/>
              </a:lnTo>
              <a:lnTo>
                <a:pt x="533400" y="0"/>
              </a:lnTo>
              <a:close/>
            </a:path>
          </a:pathLst>
        </a:custGeom>
        <a:solidFill>
          <a:srgbClr val="A6A6A6">
            <a:alpha val="25000"/>
          </a:srgbClr>
        </a:solidFill>
        <a:ln w="9525" cap="flat" cmpd="sng" algn="ctr">
          <a:noFill/>
          <a:prstDash val="solid"/>
          <a:round/>
          <a:headEnd type="none" w="med" len="med"/>
          <a:tailEnd type="none" w="med" len="med"/>
        </a:ln>
        <a:effectLst/>
      </xdr:spPr>
      <xdr:txBody>
        <a:bodyPr rot="0" spcFirstLastPara="0" vert="horz" wrap="square" lIns="18288" tIns="0" rIns="0" bIns="0" numCol="1" spcCol="0" rtlCol="0" fromWordArt="0" anchor="t"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lang="en-US" sz="1100"/>
        </a:p>
      </xdr:txBody>
    </xdr:sp>
    <xdr:clientData/>
  </xdr:twoCellAnchor>
  <xdr:twoCellAnchor>
    <xdr:from>
      <xdr:col>15</xdr:col>
      <xdr:colOff>83820</xdr:colOff>
      <xdr:row>2</xdr:row>
      <xdr:rowOff>144780</xdr:rowOff>
    </xdr:from>
    <xdr:to>
      <xdr:col>15</xdr:col>
      <xdr:colOff>352419</xdr:colOff>
      <xdr:row>4</xdr:row>
      <xdr:rowOff>64887</xdr:rowOff>
    </xdr:to>
    <xdr:sp macro="" textlink="">
      <xdr:nvSpPr>
        <xdr:cNvPr id="23" name="Freeform 22">
          <a:extLst>
            <a:ext uri="{FF2B5EF4-FFF2-40B4-BE49-F238E27FC236}">
              <a16:creationId xmlns:a16="http://schemas.microsoft.com/office/drawing/2014/main" id="{00000000-0008-0000-0900-000017000000}"/>
            </a:ext>
          </a:extLst>
        </xdr:cNvPr>
        <xdr:cNvSpPr/>
      </xdr:nvSpPr>
      <xdr:spPr bwMode="auto">
        <a:xfrm>
          <a:off x="9235440" y="624840"/>
          <a:ext cx="0"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oneCellAnchor>
    <xdr:from>
      <xdr:col>10</xdr:col>
      <xdr:colOff>373380</xdr:colOff>
      <xdr:row>42</xdr:row>
      <xdr:rowOff>30480</xdr:rowOff>
    </xdr:from>
    <xdr:ext cx="1066799" cy="233205"/>
    <xdr:sp macro="" textlink="">
      <xdr:nvSpPr>
        <xdr:cNvPr id="26" name="TextBox 25">
          <a:extLst>
            <a:ext uri="{FF2B5EF4-FFF2-40B4-BE49-F238E27FC236}">
              <a16:creationId xmlns:a16="http://schemas.microsoft.com/office/drawing/2014/main" id="{00000000-0008-0000-0900-00001A000000}"/>
            </a:ext>
          </a:extLst>
        </xdr:cNvPr>
        <xdr:cNvSpPr txBox="1"/>
      </xdr:nvSpPr>
      <xdr:spPr>
        <a:xfrm>
          <a:off x="4802505" y="7631430"/>
          <a:ext cx="106679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900" b="1"/>
        </a:p>
      </xdr:txBody>
    </xdr:sp>
    <xdr:clientData/>
  </xdr:oneCellAnchor>
  <xdr:twoCellAnchor>
    <xdr:from>
      <xdr:col>10</xdr:col>
      <xdr:colOff>99060</xdr:colOff>
      <xdr:row>42</xdr:row>
      <xdr:rowOff>152400</xdr:rowOff>
    </xdr:from>
    <xdr:to>
      <xdr:col>10</xdr:col>
      <xdr:colOff>426720</xdr:colOff>
      <xdr:row>43</xdr:row>
      <xdr:rowOff>83820</xdr:rowOff>
    </xdr:to>
    <xdr:sp macro="" textlink="">
      <xdr:nvSpPr>
        <xdr:cNvPr id="27" name="Freeform 26">
          <a:extLst>
            <a:ext uri="{FF2B5EF4-FFF2-40B4-BE49-F238E27FC236}">
              <a16:creationId xmlns:a16="http://schemas.microsoft.com/office/drawing/2014/main" id="{00000000-0008-0000-0900-00001B000000}"/>
            </a:ext>
          </a:extLst>
        </xdr:cNvPr>
        <xdr:cNvSpPr/>
      </xdr:nvSpPr>
      <xdr:spPr bwMode="auto">
        <a:xfrm>
          <a:off x="4655820" y="7795260"/>
          <a:ext cx="327660" cy="106680"/>
        </a:xfrm>
        <a:custGeom>
          <a:avLst/>
          <a:gdLst>
            <a:gd name="connsiteX0" fmla="*/ 327660 w 327660"/>
            <a:gd name="connsiteY0" fmla="*/ 106680 h 106680"/>
            <a:gd name="connsiteX1" fmla="*/ 0 w 327660"/>
            <a:gd name="connsiteY1" fmla="*/ 0 h 106680"/>
            <a:gd name="connsiteX2" fmla="*/ 0 w 327660"/>
            <a:gd name="connsiteY2" fmla="*/ 0 h 106680"/>
          </a:gdLst>
          <a:ahLst/>
          <a:cxnLst>
            <a:cxn ang="0">
              <a:pos x="connsiteX0" y="connsiteY0"/>
            </a:cxn>
            <a:cxn ang="0">
              <a:pos x="connsiteX1" y="connsiteY1"/>
            </a:cxn>
            <a:cxn ang="0">
              <a:pos x="connsiteX2" y="connsiteY2"/>
            </a:cxn>
          </a:cxnLst>
          <a:rect l="l" t="t" r="r" b="b"/>
          <a:pathLst>
            <a:path w="327660" h="106680">
              <a:moveTo>
                <a:pt x="327660" y="106680"/>
              </a:moveTo>
              <a:lnTo>
                <a:pt x="0" y="0"/>
              </a:lnTo>
              <a:lnTo>
                <a:pt x="0" y="0"/>
              </a:lnTo>
            </a:path>
          </a:pathLst>
        </a:custGeom>
        <a:noFill/>
        <a:ln w="9525" cap="flat" cmpd="sng" algn="ctr">
          <a:noFill/>
          <a:prstDash val="solid"/>
          <a:round/>
          <a:headEnd type="none" w="med" len="med"/>
          <a:tailEnd type="none" w="med" len="med"/>
        </a:ln>
        <a:effectLst/>
      </xdr:spPr>
      <xdr:txBody>
        <a:bodyPr vertOverflow="clip" horzOverflow="clip" wrap="none" lIns="18288" tIns="0" rIns="0" bIns="0" rtlCol="0" anchor="t" upright="1">
          <a:spAutoFit/>
        </a:bodyPr>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582732</xdr:colOff>
      <xdr:row>25</xdr:row>
      <xdr:rowOff>117939</xdr:rowOff>
    </xdr:from>
    <xdr:to>
      <xdr:col>12</xdr:col>
      <xdr:colOff>2008081</xdr:colOff>
      <xdr:row>47</xdr:row>
      <xdr:rowOff>111107</xdr:rowOff>
    </xdr:to>
    <xdr:sp macro="" textlink="">
      <xdr:nvSpPr>
        <xdr:cNvPr id="3" name="Freeform 2">
          <a:extLst>
            <a:ext uri="{FF2B5EF4-FFF2-40B4-BE49-F238E27FC236}">
              <a16:creationId xmlns:a16="http://schemas.microsoft.com/office/drawing/2014/main" id="{00000000-0008-0000-0A00-000003000000}"/>
            </a:ext>
          </a:extLst>
        </xdr:cNvPr>
        <xdr:cNvSpPr>
          <a:spLocks/>
        </xdr:cNvSpPr>
      </xdr:nvSpPr>
      <xdr:spPr bwMode="auto">
        <a:xfrm>
          <a:off x="4326057" y="4766139"/>
          <a:ext cx="3587524" cy="3812693"/>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0 w 10000"/>
            <a:gd name="connsiteY0" fmla="*/ 9974 h 10000"/>
            <a:gd name="connsiteX1" fmla="*/ 0 w 10000"/>
            <a:gd name="connsiteY1" fmla="*/ 5692 h 10000"/>
            <a:gd name="connsiteX2" fmla="*/ 6044 w 10000"/>
            <a:gd name="connsiteY2" fmla="*/ 332 h 10000"/>
            <a:gd name="connsiteX3" fmla="*/ 9921 w 10000"/>
            <a:gd name="connsiteY3" fmla="*/ 0 h 10000"/>
            <a:gd name="connsiteX4" fmla="*/ 10000 w 10000"/>
            <a:gd name="connsiteY4" fmla="*/ 10000 h 10000"/>
            <a:gd name="connsiteX0" fmla="*/ 0 w 10000"/>
            <a:gd name="connsiteY0" fmla="*/ 9642 h 9668"/>
            <a:gd name="connsiteX1" fmla="*/ 0 w 10000"/>
            <a:gd name="connsiteY1" fmla="*/ 5360 h 9668"/>
            <a:gd name="connsiteX2" fmla="*/ 6044 w 10000"/>
            <a:gd name="connsiteY2" fmla="*/ 0 h 9668"/>
            <a:gd name="connsiteX3" fmla="*/ 9921 w 10000"/>
            <a:gd name="connsiteY3" fmla="*/ 31 h 9668"/>
            <a:gd name="connsiteX4" fmla="*/ 10000 w 10000"/>
            <a:gd name="connsiteY4" fmla="*/ 9668 h 9668"/>
            <a:gd name="connsiteX0" fmla="*/ 0 w 10000"/>
            <a:gd name="connsiteY0" fmla="*/ 9973 h 10000"/>
            <a:gd name="connsiteX1" fmla="*/ 0 w 10000"/>
            <a:gd name="connsiteY1" fmla="*/ 7087 h 10000"/>
            <a:gd name="connsiteX2" fmla="*/ 6044 w 10000"/>
            <a:gd name="connsiteY2" fmla="*/ 0 h 10000"/>
            <a:gd name="connsiteX3" fmla="*/ 9921 w 10000"/>
            <a:gd name="connsiteY3" fmla="*/ 32 h 10000"/>
            <a:gd name="connsiteX4" fmla="*/ 10000 w 10000"/>
            <a:gd name="connsiteY4" fmla="*/ 10000 h 10000"/>
            <a:gd name="connsiteX0" fmla="*/ 0 w 10000"/>
            <a:gd name="connsiteY0" fmla="*/ 9973 h 10000"/>
            <a:gd name="connsiteX1" fmla="*/ 0 w 10000"/>
            <a:gd name="connsiteY1" fmla="*/ 7087 h 10000"/>
            <a:gd name="connsiteX2" fmla="*/ 3251 w 10000"/>
            <a:gd name="connsiteY2" fmla="*/ 3310 h 10000"/>
            <a:gd name="connsiteX3" fmla="*/ 6044 w 10000"/>
            <a:gd name="connsiteY3" fmla="*/ 0 h 10000"/>
            <a:gd name="connsiteX4" fmla="*/ 9921 w 10000"/>
            <a:gd name="connsiteY4" fmla="*/ 32 h 10000"/>
            <a:gd name="connsiteX5" fmla="*/ 10000 w 10000"/>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47 w 10021"/>
            <a:gd name="connsiteY2" fmla="*/ 2895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06 w 10021"/>
            <a:gd name="connsiteY2" fmla="*/ 3033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81 h 10008"/>
            <a:gd name="connsiteX1" fmla="*/ 0 w 10021"/>
            <a:gd name="connsiteY1" fmla="*/ 6482 h 10008"/>
            <a:gd name="connsiteX2" fmla="*/ 1906 w 10021"/>
            <a:gd name="connsiteY2" fmla="*/ 3041 h 10008"/>
            <a:gd name="connsiteX3" fmla="*/ 6065 w 10021"/>
            <a:gd name="connsiteY3" fmla="*/ 8 h 10008"/>
            <a:gd name="connsiteX4" fmla="*/ 9942 w 10021"/>
            <a:gd name="connsiteY4" fmla="*/ 0 h 10008"/>
            <a:gd name="connsiteX5" fmla="*/ 10021 w 10021"/>
            <a:gd name="connsiteY5" fmla="*/ 10008 h 10008"/>
            <a:gd name="connsiteX0" fmla="*/ 21 w 10021"/>
            <a:gd name="connsiteY0" fmla="*/ 10013 h 10040"/>
            <a:gd name="connsiteX1" fmla="*/ 0 w 10021"/>
            <a:gd name="connsiteY1" fmla="*/ 6514 h 10040"/>
            <a:gd name="connsiteX2" fmla="*/ 1906 w 10021"/>
            <a:gd name="connsiteY2" fmla="*/ 3073 h 10040"/>
            <a:gd name="connsiteX3" fmla="*/ 6127 w 10021"/>
            <a:gd name="connsiteY3" fmla="*/ 0 h 10040"/>
            <a:gd name="connsiteX4" fmla="*/ 9942 w 10021"/>
            <a:gd name="connsiteY4" fmla="*/ 32 h 10040"/>
            <a:gd name="connsiteX5" fmla="*/ 10021 w 10021"/>
            <a:gd name="connsiteY5" fmla="*/ 10040 h 10040"/>
            <a:gd name="connsiteX0" fmla="*/ 21 w 10021"/>
            <a:gd name="connsiteY0" fmla="*/ 10021 h 10048"/>
            <a:gd name="connsiteX1" fmla="*/ 0 w 10021"/>
            <a:gd name="connsiteY1" fmla="*/ 6522 h 10048"/>
            <a:gd name="connsiteX2" fmla="*/ 1906 w 10021"/>
            <a:gd name="connsiteY2" fmla="*/ 3081 h 10048"/>
            <a:gd name="connsiteX3" fmla="*/ 6127 w 10021"/>
            <a:gd name="connsiteY3" fmla="*/ 8 h 10048"/>
            <a:gd name="connsiteX4" fmla="*/ 9880 w 10021"/>
            <a:gd name="connsiteY4" fmla="*/ 0 h 10048"/>
            <a:gd name="connsiteX5" fmla="*/ 10021 w 10021"/>
            <a:gd name="connsiteY5" fmla="*/ 10048 h 10048"/>
            <a:gd name="connsiteX0" fmla="*/ 21 w 10021"/>
            <a:gd name="connsiteY0" fmla="*/ 10021 h 10048"/>
            <a:gd name="connsiteX1" fmla="*/ 0 w 10021"/>
            <a:gd name="connsiteY1" fmla="*/ 6522 h 10048"/>
            <a:gd name="connsiteX2" fmla="*/ 1906 w 10021"/>
            <a:gd name="connsiteY2" fmla="*/ 3081 h 10048"/>
            <a:gd name="connsiteX3" fmla="*/ 6075 w 10021"/>
            <a:gd name="connsiteY3" fmla="*/ 8 h 10048"/>
            <a:gd name="connsiteX4" fmla="*/ 9880 w 10021"/>
            <a:gd name="connsiteY4" fmla="*/ 0 h 10048"/>
            <a:gd name="connsiteX5" fmla="*/ 10021 w 10021"/>
            <a:gd name="connsiteY5" fmla="*/ 10048 h 10048"/>
            <a:gd name="connsiteX0" fmla="*/ 21 w 10021"/>
            <a:gd name="connsiteY0" fmla="*/ 10021 h 10048"/>
            <a:gd name="connsiteX1" fmla="*/ 0 w 10021"/>
            <a:gd name="connsiteY1" fmla="*/ 6522 h 10048"/>
            <a:gd name="connsiteX2" fmla="*/ 1906 w 10021"/>
            <a:gd name="connsiteY2" fmla="*/ 3081 h 10048"/>
            <a:gd name="connsiteX3" fmla="*/ 6052 w 10021"/>
            <a:gd name="connsiteY3" fmla="*/ 8 h 10048"/>
            <a:gd name="connsiteX4" fmla="*/ 9880 w 10021"/>
            <a:gd name="connsiteY4" fmla="*/ 0 h 10048"/>
            <a:gd name="connsiteX5" fmla="*/ 10021 w 10021"/>
            <a:gd name="connsiteY5" fmla="*/ 10048 h 10048"/>
            <a:gd name="connsiteX0" fmla="*/ 21 w 10021"/>
            <a:gd name="connsiteY0" fmla="*/ 10021 h 10048"/>
            <a:gd name="connsiteX1" fmla="*/ 0 w 10021"/>
            <a:gd name="connsiteY1" fmla="*/ 6522 h 10048"/>
            <a:gd name="connsiteX2" fmla="*/ 1865 w 10021"/>
            <a:gd name="connsiteY2" fmla="*/ 3081 h 10048"/>
            <a:gd name="connsiteX3" fmla="*/ 6052 w 10021"/>
            <a:gd name="connsiteY3" fmla="*/ 8 h 10048"/>
            <a:gd name="connsiteX4" fmla="*/ 9880 w 10021"/>
            <a:gd name="connsiteY4" fmla="*/ 0 h 10048"/>
            <a:gd name="connsiteX5" fmla="*/ 10021 w 10021"/>
            <a:gd name="connsiteY5" fmla="*/ 10048 h 10048"/>
            <a:gd name="connsiteX0" fmla="*/ 73 w 10073"/>
            <a:gd name="connsiteY0" fmla="*/ 10021 h 10048"/>
            <a:gd name="connsiteX1" fmla="*/ 0 w 10073"/>
            <a:gd name="connsiteY1" fmla="*/ 6528 h 10048"/>
            <a:gd name="connsiteX2" fmla="*/ 1917 w 10073"/>
            <a:gd name="connsiteY2" fmla="*/ 3081 h 10048"/>
            <a:gd name="connsiteX3" fmla="*/ 6104 w 10073"/>
            <a:gd name="connsiteY3" fmla="*/ 8 h 10048"/>
            <a:gd name="connsiteX4" fmla="*/ 9932 w 10073"/>
            <a:gd name="connsiteY4" fmla="*/ 0 h 10048"/>
            <a:gd name="connsiteX5" fmla="*/ 10073 w 10073"/>
            <a:gd name="connsiteY5" fmla="*/ 10048 h 10048"/>
            <a:gd name="connsiteX0" fmla="*/ 3 w 10073"/>
            <a:gd name="connsiteY0" fmla="*/ 10015 h 10048"/>
            <a:gd name="connsiteX1" fmla="*/ 0 w 10073"/>
            <a:gd name="connsiteY1" fmla="*/ 6528 h 10048"/>
            <a:gd name="connsiteX2" fmla="*/ 1917 w 10073"/>
            <a:gd name="connsiteY2" fmla="*/ 3081 h 10048"/>
            <a:gd name="connsiteX3" fmla="*/ 6104 w 10073"/>
            <a:gd name="connsiteY3" fmla="*/ 8 h 10048"/>
            <a:gd name="connsiteX4" fmla="*/ 9932 w 10073"/>
            <a:gd name="connsiteY4" fmla="*/ 0 h 10048"/>
            <a:gd name="connsiteX5" fmla="*/ 10073 w 10073"/>
            <a:gd name="connsiteY5" fmla="*/ 10048 h 10048"/>
            <a:gd name="connsiteX0" fmla="*/ 3 w 9939"/>
            <a:gd name="connsiteY0" fmla="*/ 10015 h 10015"/>
            <a:gd name="connsiteX1" fmla="*/ 0 w 9939"/>
            <a:gd name="connsiteY1" fmla="*/ 6528 h 10015"/>
            <a:gd name="connsiteX2" fmla="*/ 1917 w 9939"/>
            <a:gd name="connsiteY2" fmla="*/ 3081 h 10015"/>
            <a:gd name="connsiteX3" fmla="*/ 6104 w 9939"/>
            <a:gd name="connsiteY3" fmla="*/ 8 h 10015"/>
            <a:gd name="connsiteX4" fmla="*/ 9932 w 9939"/>
            <a:gd name="connsiteY4" fmla="*/ 0 h 10015"/>
            <a:gd name="connsiteX5" fmla="*/ 9934 w 9939"/>
            <a:gd name="connsiteY5" fmla="*/ 9998 h 10015"/>
            <a:gd name="connsiteX0" fmla="*/ 3 w 10000"/>
            <a:gd name="connsiteY0" fmla="*/ 10000 h 10000"/>
            <a:gd name="connsiteX1" fmla="*/ 0 w 10000"/>
            <a:gd name="connsiteY1" fmla="*/ 6518 h 10000"/>
            <a:gd name="connsiteX2" fmla="*/ 2022 w 10000"/>
            <a:gd name="connsiteY2" fmla="*/ 3070 h 10000"/>
            <a:gd name="connsiteX3" fmla="*/ 6141 w 10000"/>
            <a:gd name="connsiteY3" fmla="*/ 8 h 10000"/>
            <a:gd name="connsiteX4" fmla="*/ 9993 w 10000"/>
            <a:gd name="connsiteY4" fmla="*/ 0 h 10000"/>
            <a:gd name="connsiteX5" fmla="*/ 9995 w 10000"/>
            <a:gd name="connsiteY5" fmla="*/ 9983 h 10000"/>
            <a:gd name="connsiteX0" fmla="*/ 3 w 10000"/>
            <a:gd name="connsiteY0" fmla="*/ 10000 h 10000"/>
            <a:gd name="connsiteX1" fmla="*/ 0 w 10000"/>
            <a:gd name="connsiteY1" fmla="*/ 6518 h 10000"/>
            <a:gd name="connsiteX2" fmla="*/ 1975 w 10000"/>
            <a:gd name="connsiteY2" fmla="*/ 3070 h 10000"/>
            <a:gd name="connsiteX3" fmla="*/ 6141 w 10000"/>
            <a:gd name="connsiteY3" fmla="*/ 8 h 10000"/>
            <a:gd name="connsiteX4" fmla="*/ 9993 w 10000"/>
            <a:gd name="connsiteY4" fmla="*/ 0 h 10000"/>
            <a:gd name="connsiteX5" fmla="*/ 9995 w 10000"/>
            <a:gd name="connsiteY5" fmla="*/ 9983 h 10000"/>
            <a:gd name="connsiteX0" fmla="*/ 3 w 10000"/>
            <a:gd name="connsiteY0" fmla="*/ 10014 h 10014"/>
            <a:gd name="connsiteX1" fmla="*/ 0 w 10000"/>
            <a:gd name="connsiteY1" fmla="*/ 6532 h 10014"/>
            <a:gd name="connsiteX2" fmla="*/ 1975 w 10000"/>
            <a:gd name="connsiteY2" fmla="*/ 3084 h 10014"/>
            <a:gd name="connsiteX3" fmla="*/ 6147 w 10000"/>
            <a:gd name="connsiteY3" fmla="*/ 0 h 10014"/>
            <a:gd name="connsiteX4" fmla="*/ 9993 w 10000"/>
            <a:gd name="connsiteY4" fmla="*/ 14 h 10014"/>
            <a:gd name="connsiteX5" fmla="*/ 9995 w 10000"/>
            <a:gd name="connsiteY5" fmla="*/ 9997 h 10014"/>
            <a:gd name="connsiteX0" fmla="*/ 3 w 10000"/>
            <a:gd name="connsiteY0" fmla="*/ 10014 h 10014"/>
            <a:gd name="connsiteX1" fmla="*/ 0 w 10000"/>
            <a:gd name="connsiteY1" fmla="*/ 6433 h 10014"/>
            <a:gd name="connsiteX2" fmla="*/ 1975 w 10000"/>
            <a:gd name="connsiteY2" fmla="*/ 3084 h 10014"/>
            <a:gd name="connsiteX3" fmla="*/ 6147 w 10000"/>
            <a:gd name="connsiteY3" fmla="*/ 0 h 10014"/>
            <a:gd name="connsiteX4" fmla="*/ 9993 w 10000"/>
            <a:gd name="connsiteY4" fmla="*/ 14 h 10014"/>
            <a:gd name="connsiteX5" fmla="*/ 9995 w 10000"/>
            <a:gd name="connsiteY5" fmla="*/ 9997 h 10014"/>
            <a:gd name="connsiteX0" fmla="*/ 3 w 10000"/>
            <a:gd name="connsiteY0" fmla="*/ 10014 h 10014"/>
            <a:gd name="connsiteX1" fmla="*/ 0 w 10000"/>
            <a:gd name="connsiteY1" fmla="*/ 6433 h 10014"/>
            <a:gd name="connsiteX2" fmla="*/ 2100 w 10000"/>
            <a:gd name="connsiteY2" fmla="*/ 3123 h 10014"/>
            <a:gd name="connsiteX3" fmla="*/ 6147 w 10000"/>
            <a:gd name="connsiteY3" fmla="*/ 0 h 10014"/>
            <a:gd name="connsiteX4" fmla="*/ 9993 w 10000"/>
            <a:gd name="connsiteY4" fmla="*/ 14 h 10014"/>
            <a:gd name="connsiteX5" fmla="*/ 9995 w 10000"/>
            <a:gd name="connsiteY5" fmla="*/ 9997 h 10014"/>
            <a:gd name="connsiteX0" fmla="*/ 3 w 10000"/>
            <a:gd name="connsiteY0" fmla="*/ 10014 h 10014"/>
            <a:gd name="connsiteX1" fmla="*/ 0 w 10000"/>
            <a:gd name="connsiteY1" fmla="*/ 6433 h 10014"/>
            <a:gd name="connsiteX2" fmla="*/ 2100 w 10000"/>
            <a:gd name="connsiteY2" fmla="*/ 3123 h 10014"/>
            <a:gd name="connsiteX3" fmla="*/ 2990 w 10000"/>
            <a:gd name="connsiteY3" fmla="*/ 2420 h 10014"/>
            <a:gd name="connsiteX4" fmla="*/ 6147 w 10000"/>
            <a:gd name="connsiteY4" fmla="*/ 0 h 10014"/>
            <a:gd name="connsiteX5" fmla="*/ 9993 w 10000"/>
            <a:gd name="connsiteY5" fmla="*/ 14 h 10014"/>
            <a:gd name="connsiteX6" fmla="*/ 9995 w 10000"/>
            <a:gd name="connsiteY6" fmla="*/ 9997 h 100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000" h="10014">
              <a:moveTo>
                <a:pt x="3" y="10014"/>
              </a:moveTo>
              <a:cubicBezTo>
                <a:pt x="-4" y="8850"/>
                <a:pt x="7" y="7597"/>
                <a:pt x="0" y="6433"/>
              </a:cubicBezTo>
              <a:lnTo>
                <a:pt x="2100" y="3123"/>
              </a:lnTo>
              <a:lnTo>
                <a:pt x="2990" y="2420"/>
              </a:lnTo>
              <a:lnTo>
                <a:pt x="6147" y="0"/>
              </a:lnTo>
              <a:lnTo>
                <a:pt x="9993" y="14"/>
              </a:lnTo>
              <a:cubicBezTo>
                <a:pt x="10019" y="3457"/>
                <a:pt x="9969" y="6555"/>
                <a:pt x="9995" y="9997"/>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27</xdr:row>
      <xdr:rowOff>60960</xdr:rowOff>
    </xdr:to>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4095750" y="4505325"/>
          <a:ext cx="1104900" cy="537210"/>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C182T (230 HP)</a:t>
          </a:r>
        </a:p>
        <a:p>
          <a:pPr algn="ctr" rtl="0">
            <a:defRPr sz="1000"/>
          </a:pPr>
          <a:r>
            <a:rPr lang="en-US" sz="800" b="0" i="1" u="none" strike="noStrike" baseline="0">
              <a:solidFill>
                <a:srgbClr val="FF0000"/>
              </a:solidFill>
              <a:latin typeface="Arial"/>
              <a:cs typeface="Arial"/>
            </a:rPr>
            <a:t>Dashed red line is LANDING weight limit.</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0A00-000005000000}"/>
            </a:ext>
          </a:extLst>
        </xdr:cNvPr>
        <xdr:cNvGrpSpPr>
          <a:grpSpLocks/>
        </xdr:cNvGrpSpPr>
      </xdr:nvGrpSpPr>
      <xdr:grpSpPr bwMode="auto">
        <a:xfrm>
          <a:off x="1028700" y="990600"/>
          <a:ext cx="1152525" cy="1476375"/>
          <a:chOff x="108" y="43"/>
          <a:chExt cx="121" cy="163"/>
        </a:xfrm>
      </xdr:grpSpPr>
      <xdr:sp macro="" textlink="">
        <xdr:nvSpPr>
          <xdr:cNvPr id="6" name="Freeform 10">
            <a:extLst>
              <a:ext uri="{FF2B5EF4-FFF2-40B4-BE49-F238E27FC236}">
                <a16:creationId xmlns:a16="http://schemas.microsoft.com/office/drawing/2014/main" id="{00000000-0008-0000-0A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0A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0A00-000008000000}"/>
            </a:ext>
          </a:extLst>
        </xdr:cNvPr>
        <xdr:cNvSpPr txBox="1">
          <a:spLocks noChangeArrowheads="1"/>
        </xdr:cNvSpPr>
      </xdr:nvSpPr>
      <xdr:spPr bwMode="auto">
        <a:xfrm>
          <a:off x="3438525" y="553402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0A00-000009000000}"/>
            </a:ext>
          </a:extLst>
        </xdr:cNvPr>
        <xdr:cNvSpPr txBox="1">
          <a:spLocks noChangeArrowheads="1"/>
        </xdr:cNvSpPr>
      </xdr:nvSpPr>
      <xdr:spPr bwMode="auto">
        <a:xfrm>
          <a:off x="5657850" y="4038600"/>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9525" y="34290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0A00-00000B000000}"/>
            </a:ext>
          </a:extLst>
        </xdr:cNvPr>
        <xdr:cNvSpPr>
          <a:spLocks/>
        </xdr:cNvSpPr>
      </xdr:nvSpPr>
      <xdr:spPr bwMode="auto">
        <a:xfrm>
          <a:off x="17021175" y="1524000"/>
          <a:ext cx="110490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0A00-00000C000000}"/>
            </a:ext>
          </a:extLst>
        </xdr:cNvPr>
        <xdr:cNvSpPr>
          <a:spLocks/>
        </xdr:cNvSpPr>
      </xdr:nvSpPr>
      <xdr:spPr bwMode="auto">
        <a:xfrm>
          <a:off x="20069175" y="1581150"/>
          <a:ext cx="115252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6476 w 1247775"/>
            <a:gd name="connsiteY2" fmla="*/ 256982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42487 w 1247775"/>
            <a:gd name="connsiteY2" fmla="*/ 207143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42487" y="207143"/>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12</xdr:col>
      <xdr:colOff>38100</xdr:colOff>
      <xdr:row>28</xdr:row>
      <xdr:rowOff>22857</xdr:rowOff>
    </xdr:from>
    <xdr:to>
      <xdr:col>12</xdr:col>
      <xdr:colOff>2014924</xdr:colOff>
      <xdr:row>28</xdr:row>
      <xdr:rowOff>83818</xdr:rowOff>
    </xdr:to>
    <xdr:sp macro="" textlink="">
      <xdr:nvSpPr>
        <xdr:cNvPr id="13" name="Freeform 12">
          <a:extLst>
            <a:ext uri="{FF2B5EF4-FFF2-40B4-BE49-F238E27FC236}">
              <a16:creationId xmlns:a16="http://schemas.microsoft.com/office/drawing/2014/main" id="{00000000-0008-0000-0A00-00000D000000}"/>
            </a:ext>
          </a:extLst>
        </xdr:cNvPr>
        <xdr:cNvSpPr/>
      </xdr:nvSpPr>
      <xdr:spPr bwMode="auto">
        <a:xfrm flipV="1">
          <a:off x="5943600" y="5175882"/>
          <a:ext cx="1976824" cy="60961"/>
        </a:xfrm>
        <a:custGeom>
          <a:avLst/>
          <a:gdLst>
            <a:gd name="connsiteX0" fmla="*/ 0 w 1813560"/>
            <a:gd name="connsiteY0" fmla="*/ 0 h 0"/>
            <a:gd name="connsiteX1" fmla="*/ 1813560 w 1813560"/>
            <a:gd name="connsiteY1" fmla="*/ 0 h 0"/>
          </a:gdLst>
          <a:ahLst/>
          <a:cxnLst>
            <a:cxn ang="0">
              <a:pos x="connsiteX0" y="connsiteY0"/>
            </a:cxn>
            <a:cxn ang="0">
              <a:pos x="connsiteX1" y="connsiteY1"/>
            </a:cxn>
          </a:cxnLst>
          <a:rect l="l" t="t" r="r" b="b"/>
          <a:pathLst>
            <a:path w="1813560">
              <a:moveTo>
                <a:pt x="0" y="0"/>
              </a:moveTo>
              <a:lnTo>
                <a:pt x="1813560" y="0"/>
              </a:lnTo>
            </a:path>
          </a:pathLst>
        </a:custGeom>
        <a:noFill/>
        <a:ln w="19050" cap="flat" cmpd="sng" algn="ctr">
          <a:solidFill>
            <a:srgbClr val="FF0000"/>
          </a:solidFill>
          <a:prstDash val="dash"/>
          <a:round/>
          <a:headEnd type="none" w="med" len="med"/>
          <a:tailEnd type="none" w="med" len="med"/>
        </a:ln>
        <a:effectLst/>
      </xdr:spPr>
      <xdr:txBody>
        <a:bodyPr vertOverflow="clip" horzOverflow="clip" wrap="square" lIns="18288" tIns="0" rIns="0" bIns="0" rtlCol="0" anchor="t" upright="1">
          <a:spAutoFit/>
        </a:bodyPr>
        <a:lstStyle/>
        <a:p>
          <a:pPr algn="l"/>
          <a:endParaRPr lang="en-US" sz="1100"/>
        </a:p>
      </xdr:txBody>
    </xdr:sp>
    <xdr:clientData/>
  </xdr:twoCellAnchor>
  <xdr:twoCellAnchor>
    <xdr:from>
      <xdr:col>26</xdr:col>
      <xdr:colOff>38100</xdr:colOff>
      <xdr:row>9</xdr:row>
      <xdr:rowOff>91440</xdr:rowOff>
    </xdr:from>
    <xdr:to>
      <xdr:col>26</xdr:col>
      <xdr:colOff>167640</xdr:colOff>
      <xdr:row>9</xdr:row>
      <xdr:rowOff>114300</xdr:rowOff>
    </xdr:to>
    <xdr:sp macro="" textlink="">
      <xdr:nvSpPr>
        <xdr:cNvPr id="14" name="Freeform 13">
          <a:extLst>
            <a:ext uri="{FF2B5EF4-FFF2-40B4-BE49-F238E27FC236}">
              <a16:creationId xmlns:a16="http://schemas.microsoft.com/office/drawing/2014/main" id="{00000000-0008-0000-0A00-00000E000000}"/>
            </a:ext>
          </a:extLst>
        </xdr:cNvPr>
        <xdr:cNvSpPr/>
      </xdr:nvSpPr>
      <xdr:spPr bwMode="auto">
        <a:xfrm>
          <a:off x="17002125" y="1796415"/>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30480</xdr:colOff>
      <xdr:row>9</xdr:row>
      <xdr:rowOff>106680</xdr:rowOff>
    </xdr:from>
    <xdr:to>
      <xdr:col>31</xdr:col>
      <xdr:colOff>160020</xdr:colOff>
      <xdr:row>9</xdr:row>
      <xdr:rowOff>129540</xdr:rowOff>
    </xdr:to>
    <xdr:sp macro="" textlink="">
      <xdr:nvSpPr>
        <xdr:cNvPr id="15" name="Freeform 14">
          <a:extLst>
            <a:ext uri="{FF2B5EF4-FFF2-40B4-BE49-F238E27FC236}">
              <a16:creationId xmlns:a16="http://schemas.microsoft.com/office/drawing/2014/main" id="{00000000-0008-0000-0A00-00000F000000}"/>
            </a:ext>
          </a:extLst>
        </xdr:cNvPr>
        <xdr:cNvSpPr/>
      </xdr:nvSpPr>
      <xdr:spPr bwMode="auto">
        <a:xfrm>
          <a:off x="20042505" y="1811655"/>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64770</xdr:colOff>
      <xdr:row>32</xdr:row>
      <xdr:rowOff>9525</xdr:rowOff>
    </xdr:from>
    <xdr:to>
      <xdr:col>27</xdr:col>
      <xdr:colOff>560070</xdr:colOff>
      <xdr:row>40</xdr:row>
      <xdr:rowOff>32385</xdr:rowOff>
    </xdr:to>
    <xdr:sp macro="" textlink="">
      <xdr:nvSpPr>
        <xdr:cNvPr id="16" name="Freeform 26">
          <a:extLst>
            <a:ext uri="{FF2B5EF4-FFF2-40B4-BE49-F238E27FC236}">
              <a16:creationId xmlns:a16="http://schemas.microsoft.com/office/drawing/2014/main" id="{00000000-0008-0000-0A00-000010000000}"/>
            </a:ext>
          </a:extLst>
        </xdr:cNvPr>
        <xdr:cNvSpPr>
          <a:spLocks/>
        </xdr:cNvSpPr>
      </xdr:nvSpPr>
      <xdr:spPr bwMode="auto">
        <a:xfrm>
          <a:off x="17028795" y="5905500"/>
          <a:ext cx="1104900" cy="137541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26670</xdr:colOff>
      <xdr:row>32</xdr:row>
      <xdr:rowOff>40005</xdr:rowOff>
    </xdr:from>
    <xdr:to>
      <xdr:col>32</xdr:col>
      <xdr:colOff>521970</xdr:colOff>
      <xdr:row>40</xdr:row>
      <xdr:rowOff>62865</xdr:rowOff>
    </xdr:to>
    <xdr:sp macro="" textlink="">
      <xdr:nvSpPr>
        <xdr:cNvPr id="17" name="Freeform 26">
          <a:extLst>
            <a:ext uri="{FF2B5EF4-FFF2-40B4-BE49-F238E27FC236}">
              <a16:creationId xmlns:a16="http://schemas.microsoft.com/office/drawing/2014/main" id="{00000000-0008-0000-0A00-000011000000}"/>
            </a:ext>
          </a:extLst>
        </xdr:cNvPr>
        <xdr:cNvSpPr>
          <a:spLocks/>
        </xdr:cNvSpPr>
      </xdr:nvSpPr>
      <xdr:spPr bwMode="auto">
        <a:xfrm>
          <a:off x="20038695" y="5935980"/>
          <a:ext cx="1104900" cy="137541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38100</xdr:colOff>
      <xdr:row>33</xdr:row>
      <xdr:rowOff>121920</xdr:rowOff>
    </xdr:from>
    <xdr:to>
      <xdr:col>26</xdr:col>
      <xdr:colOff>167640</xdr:colOff>
      <xdr:row>33</xdr:row>
      <xdr:rowOff>144780</xdr:rowOff>
    </xdr:to>
    <xdr:sp macro="" textlink="">
      <xdr:nvSpPr>
        <xdr:cNvPr id="18" name="Freeform 17">
          <a:extLst>
            <a:ext uri="{FF2B5EF4-FFF2-40B4-BE49-F238E27FC236}">
              <a16:creationId xmlns:a16="http://schemas.microsoft.com/office/drawing/2014/main" id="{00000000-0008-0000-0A00-000012000000}"/>
            </a:ext>
          </a:extLst>
        </xdr:cNvPr>
        <xdr:cNvSpPr/>
      </xdr:nvSpPr>
      <xdr:spPr bwMode="auto">
        <a:xfrm>
          <a:off x="17002125" y="617982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38100</xdr:colOff>
      <xdr:row>59</xdr:row>
      <xdr:rowOff>38100</xdr:rowOff>
    </xdr:from>
    <xdr:to>
      <xdr:col>26</xdr:col>
      <xdr:colOff>167640</xdr:colOff>
      <xdr:row>59</xdr:row>
      <xdr:rowOff>60960</xdr:rowOff>
    </xdr:to>
    <xdr:sp macro="" textlink="">
      <xdr:nvSpPr>
        <xdr:cNvPr id="19" name="Freeform 18">
          <a:extLst>
            <a:ext uri="{FF2B5EF4-FFF2-40B4-BE49-F238E27FC236}">
              <a16:creationId xmlns:a16="http://schemas.microsoft.com/office/drawing/2014/main" id="{00000000-0008-0000-0A00-000013000000}"/>
            </a:ext>
          </a:extLst>
        </xdr:cNvPr>
        <xdr:cNvSpPr/>
      </xdr:nvSpPr>
      <xdr:spPr bwMode="auto">
        <a:xfrm>
          <a:off x="17002125" y="10487025"/>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0</xdr:colOff>
      <xdr:row>33</xdr:row>
      <xdr:rowOff>114300</xdr:rowOff>
    </xdr:from>
    <xdr:to>
      <xdr:col>31</xdr:col>
      <xdr:colOff>129540</xdr:colOff>
      <xdr:row>33</xdr:row>
      <xdr:rowOff>137160</xdr:rowOff>
    </xdr:to>
    <xdr:sp macro="" textlink="">
      <xdr:nvSpPr>
        <xdr:cNvPr id="20" name="Freeform 19">
          <a:extLst>
            <a:ext uri="{FF2B5EF4-FFF2-40B4-BE49-F238E27FC236}">
              <a16:creationId xmlns:a16="http://schemas.microsoft.com/office/drawing/2014/main" id="{00000000-0008-0000-0A00-000014000000}"/>
            </a:ext>
          </a:extLst>
        </xdr:cNvPr>
        <xdr:cNvSpPr/>
      </xdr:nvSpPr>
      <xdr:spPr bwMode="auto">
        <a:xfrm>
          <a:off x="20012025" y="617220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oneCellAnchor>
    <xdr:from>
      <xdr:col>1</xdr:col>
      <xdr:colOff>0</xdr:colOff>
      <xdr:row>13</xdr:row>
      <xdr:rowOff>0</xdr:rowOff>
    </xdr:from>
    <xdr:ext cx="370486" cy="180819"/>
    <xdr:sp macro="" textlink="">
      <xdr:nvSpPr>
        <xdr:cNvPr id="21" name="TextBox 20">
          <a:extLst>
            <a:ext uri="{FF2B5EF4-FFF2-40B4-BE49-F238E27FC236}">
              <a16:creationId xmlns:a16="http://schemas.microsoft.com/office/drawing/2014/main" id="{00000000-0008-0000-0A00-000015000000}"/>
            </a:ext>
          </a:extLst>
        </xdr:cNvPr>
        <xdr:cNvSpPr txBox="1"/>
      </xdr:nvSpPr>
      <xdr:spPr>
        <a:xfrm>
          <a:off x="85725" y="2466975"/>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12</xdr:col>
      <xdr:colOff>49092</xdr:colOff>
      <xdr:row>25</xdr:row>
      <xdr:rowOff>115260</xdr:rowOff>
    </xdr:from>
    <xdr:to>
      <xdr:col>12</xdr:col>
      <xdr:colOff>2026920</xdr:colOff>
      <xdr:row>28</xdr:row>
      <xdr:rowOff>76200</xdr:rowOff>
    </xdr:to>
    <xdr:sp macro="" textlink="">
      <xdr:nvSpPr>
        <xdr:cNvPr id="22" name="Freeform 21">
          <a:extLst>
            <a:ext uri="{FF2B5EF4-FFF2-40B4-BE49-F238E27FC236}">
              <a16:creationId xmlns:a16="http://schemas.microsoft.com/office/drawing/2014/main" id="{00000000-0008-0000-0A00-000016000000}"/>
            </a:ext>
          </a:extLst>
        </xdr:cNvPr>
        <xdr:cNvSpPr/>
      </xdr:nvSpPr>
      <xdr:spPr bwMode="auto">
        <a:xfrm>
          <a:off x="5954592" y="4763460"/>
          <a:ext cx="1977828" cy="465765"/>
        </a:xfrm>
        <a:custGeom>
          <a:avLst/>
          <a:gdLst>
            <a:gd name="connsiteX0" fmla="*/ 381000 w 1805940"/>
            <a:gd name="connsiteY0" fmla="*/ 0 h 495300"/>
            <a:gd name="connsiteX1" fmla="*/ 1798320 w 1805940"/>
            <a:gd name="connsiteY1" fmla="*/ 15240 h 495300"/>
            <a:gd name="connsiteX2" fmla="*/ 1805940 w 1805940"/>
            <a:gd name="connsiteY2" fmla="*/ 495300 h 495300"/>
            <a:gd name="connsiteX3" fmla="*/ 0 w 1805940"/>
            <a:gd name="connsiteY3" fmla="*/ 487680 h 495300"/>
            <a:gd name="connsiteX4" fmla="*/ 381000 w 1805940"/>
            <a:gd name="connsiteY4" fmla="*/ 0 h 495300"/>
            <a:gd name="connsiteX0" fmla="*/ 381000 w 1882140"/>
            <a:gd name="connsiteY0" fmla="*/ 0 h 495300"/>
            <a:gd name="connsiteX1" fmla="*/ 1882140 w 1882140"/>
            <a:gd name="connsiteY1" fmla="*/ 76200 h 495300"/>
            <a:gd name="connsiteX2" fmla="*/ 1805940 w 1882140"/>
            <a:gd name="connsiteY2" fmla="*/ 495300 h 495300"/>
            <a:gd name="connsiteX3" fmla="*/ 0 w 1882140"/>
            <a:gd name="connsiteY3" fmla="*/ 487680 h 495300"/>
            <a:gd name="connsiteX4" fmla="*/ 381000 w 1882140"/>
            <a:gd name="connsiteY4" fmla="*/ 0 h 495300"/>
            <a:gd name="connsiteX0" fmla="*/ 381000 w 1882140"/>
            <a:gd name="connsiteY0" fmla="*/ 0 h 533400"/>
            <a:gd name="connsiteX1" fmla="*/ 1882140 w 1882140"/>
            <a:gd name="connsiteY1" fmla="*/ 76200 h 533400"/>
            <a:gd name="connsiteX2" fmla="*/ 1874520 w 1882140"/>
            <a:gd name="connsiteY2" fmla="*/ 533400 h 533400"/>
            <a:gd name="connsiteX3" fmla="*/ 0 w 1882140"/>
            <a:gd name="connsiteY3" fmla="*/ 487680 h 533400"/>
            <a:gd name="connsiteX4" fmla="*/ 381000 w 1882140"/>
            <a:gd name="connsiteY4" fmla="*/ 0 h 53340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289560 w 1790700"/>
            <a:gd name="connsiteY0" fmla="*/ 0 h 541020"/>
            <a:gd name="connsiteX1" fmla="*/ 429260 w 1790700"/>
            <a:gd name="connsiteY1" fmla="*/ 40640 h 541020"/>
            <a:gd name="connsiteX2" fmla="*/ 1790700 w 1790700"/>
            <a:gd name="connsiteY2" fmla="*/ 76200 h 541020"/>
            <a:gd name="connsiteX3" fmla="*/ 1783080 w 1790700"/>
            <a:gd name="connsiteY3" fmla="*/ 533400 h 541020"/>
            <a:gd name="connsiteX4" fmla="*/ 0 w 1790700"/>
            <a:gd name="connsiteY4" fmla="*/ 541020 h 541020"/>
            <a:gd name="connsiteX5" fmla="*/ 289560 w 1790700"/>
            <a:gd name="connsiteY5" fmla="*/ 0 h 541020"/>
            <a:gd name="connsiteX0" fmla="*/ 289560 w 1790700"/>
            <a:gd name="connsiteY0" fmla="*/ 34560 h 575580"/>
            <a:gd name="connsiteX1" fmla="*/ 1790700 w 1790700"/>
            <a:gd name="connsiteY1" fmla="*/ 110760 h 575580"/>
            <a:gd name="connsiteX2" fmla="*/ 1783080 w 1790700"/>
            <a:gd name="connsiteY2" fmla="*/ 567960 h 575580"/>
            <a:gd name="connsiteX3" fmla="*/ 0 w 1790700"/>
            <a:gd name="connsiteY3" fmla="*/ 575580 h 575580"/>
            <a:gd name="connsiteX4" fmla="*/ 289560 w 1790700"/>
            <a:gd name="connsiteY4" fmla="*/ 34560 h 57558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365760 w 1790700"/>
            <a:gd name="connsiteY0" fmla="*/ 0 h 495300"/>
            <a:gd name="connsiteX1" fmla="*/ 1790700 w 1790700"/>
            <a:gd name="connsiteY1" fmla="*/ 30480 h 495300"/>
            <a:gd name="connsiteX2" fmla="*/ 1783080 w 1790700"/>
            <a:gd name="connsiteY2" fmla="*/ 487680 h 495300"/>
            <a:gd name="connsiteX3" fmla="*/ 0 w 1790700"/>
            <a:gd name="connsiteY3" fmla="*/ 495300 h 495300"/>
            <a:gd name="connsiteX4" fmla="*/ 365760 w 1790700"/>
            <a:gd name="connsiteY4" fmla="*/ 0 h 495300"/>
            <a:gd name="connsiteX0" fmla="*/ 365760 w 1965960"/>
            <a:gd name="connsiteY0" fmla="*/ 0 h 495300"/>
            <a:gd name="connsiteX1" fmla="*/ 1965960 w 1965960"/>
            <a:gd name="connsiteY1" fmla="*/ 0 h 495300"/>
            <a:gd name="connsiteX2" fmla="*/ 1783080 w 1965960"/>
            <a:gd name="connsiteY2" fmla="*/ 487680 h 495300"/>
            <a:gd name="connsiteX3" fmla="*/ 0 w 1965960"/>
            <a:gd name="connsiteY3" fmla="*/ 495300 h 495300"/>
            <a:gd name="connsiteX4" fmla="*/ 365760 w 1965960"/>
            <a:gd name="connsiteY4" fmla="*/ 0 h 495300"/>
            <a:gd name="connsiteX0" fmla="*/ 556260 w 1965960"/>
            <a:gd name="connsiteY0" fmla="*/ 0 h 502920"/>
            <a:gd name="connsiteX1" fmla="*/ 1965960 w 1965960"/>
            <a:gd name="connsiteY1" fmla="*/ 7620 h 502920"/>
            <a:gd name="connsiteX2" fmla="*/ 1783080 w 1965960"/>
            <a:gd name="connsiteY2" fmla="*/ 495300 h 502920"/>
            <a:gd name="connsiteX3" fmla="*/ 0 w 1965960"/>
            <a:gd name="connsiteY3" fmla="*/ 502920 h 502920"/>
            <a:gd name="connsiteX4" fmla="*/ 556260 w 1965960"/>
            <a:gd name="connsiteY4" fmla="*/ 0 h 502920"/>
            <a:gd name="connsiteX0" fmla="*/ 533400 w 1943100"/>
            <a:gd name="connsiteY0" fmla="*/ 0 h 495300"/>
            <a:gd name="connsiteX1" fmla="*/ 1943100 w 1943100"/>
            <a:gd name="connsiteY1" fmla="*/ 7620 h 495300"/>
            <a:gd name="connsiteX2" fmla="*/ 1760220 w 1943100"/>
            <a:gd name="connsiteY2" fmla="*/ 495300 h 495300"/>
            <a:gd name="connsiteX3" fmla="*/ 0 w 1943100"/>
            <a:gd name="connsiteY3" fmla="*/ 426720 h 495300"/>
            <a:gd name="connsiteX4" fmla="*/ 533400 w 1943100"/>
            <a:gd name="connsiteY4" fmla="*/ 0 h 495300"/>
            <a:gd name="connsiteX0" fmla="*/ 533400 w 1958340"/>
            <a:gd name="connsiteY0" fmla="*/ 0 h 434340"/>
            <a:gd name="connsiteX1" fmla="*/ 1943100 w 1958340"/>
            <a:gd name="connsiteY1" fmla="*/ 7620 h 434340"/>
            <a:gd name="connsiteX2" fmla="*/ 1958340 w 1958340"/>
            <a:gd name="connsiteY2" fmla="*/ 434340 h 434340"/>
            <a:gd name="connsiteX3" fmla="*/ 0 w 1958340"/>
            <a:gd name="connsiteY3" fmla="*/ 426720 h 434340"/>
            <a:gd name="connsiteX4" fmla="*/ 533400 w 1958340"/>
            <a:gd name="connsiteY4" fmla="*/ 0 h 4343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58340" h="434340">
              <a:moveTo>
                <a:pt x="533400" y="0"/>
              </a:moveTo>
              <a:lnTo>
                <a:pt x="1943100" y="7620"/>
              </a:lnTo>
              <a:lnTo>
                <a:pt x="1958340" y="434340"/>
              </a:lnTo>
              <a:lnTo>
                <a:pt x="0" y="426720"/>
              </a:lnTo>
              <a:lnTo>
                <a:pt x="533400" y="0"/>
              </a:lnTo>
              <a:close/>
            </a:path>
          </a:pathLst>
        </a:custGeom>
        <a:solidFill>
          <a:srgbClr val="A6A6A6">
            <a:alpha val="25000"/>
          </a:srgbClr>
        </a:solidFill>
        <a:ln w="9525" cap="flat" cmpd="sng" algn="ctr">
          <a:noFill/>
          <a:prstDash val="solid"/>
          <a:round/>
          <a:headEnd type="none" w="med" len="med"/>
          <a:tailEnd type="none" w="med" len="med"/>
        </a:ln>
        <a:effectLst/>
      </xdr:spPr>
      <xdr:txBody>
        <a:bodyPr rot="0" spcFirstLastPara="0" vert="horz" wrap="square" lIns="18288" tIns="0" rIns="0" bIns="0" numCol="1" spcCol="0" rtlCol="0" fromWordArt="0" anchor="t"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lang="en-US" sz="1100"/>
        </a:p>
      </xdr:txBody>
    </xdr:sp>
    <xdr:clientData/>
  </xdr:twoCellAnchor>
  <xdr:twoCellAnchor>
    <xdr:from>
      <xdr:col>15</xdr:col>
      <xdr:colOff>83820</xdr:colOff>
      <xdr:row>2</xdr:row>
      <xdr:rowOff>144780</xdr:rowOff>
    </xdr:from>
    <xdr:to>
      <xdr:col>15</xdr:col>
      <xdr:colOff>352419</xdr:colOff>
      <xdr:row>4</xdr:row>
      <xdr:rowOff>64887</xdr:rowOff>
    </xdr:to>
    <xdr:sp macro="" textlink="">
      <xdr:nvSpPr>
        <xdr:cNvPr id="23" name="Freeform 22">
          <a:extLst>
            <a:ext uri="{FF2B5EF4-FFF2-40B4-BE49-F238E27FC236}">
              <a16:creationId xmlns:a16="http://schemas.microsoft.com/office/drawing/2014/main" id="{00000000-0008-0000-0A00-000017000000}"/>
            </a:ext>
          </a:extLst>
        </xdr:cNvPr>
        <xdr:cNvSpPr/>
      </xdr:nvSpPr>
      <xdr:spPr bwMode="auto">
        <a:xfrm>
          <a:off x="9056370" y="621030"/>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oneCellAnchor>
    <xdr:from>
      <xdr:col>10</xdr:col>
      <xdr:colOff>373380</xdr:colOff>
      <xdr:row>42</xdr:row>
      <xdr:rowOff>30480</xdr:rowOff>
    </xdr:from>
    <xdr:ext cx="1066799" cy="233205"/>
    <xdr:sp macro="" textlink="">
      <xdr:nvSpPr>
        <xdr:cNvPr id="24" name="TextBox 23">
          <a:extLst>
            <a:ext uri="{FF2B5EF4-FFF2-40B4-BE49-F238E27FC236}">
              <a16:creationId xmlns:a16="http://schemas.microsoft.com/office/drawing/2014/main" id="{00000000-0008-0000-0A00-000018000000}"/>
            </a:ext>
          </a:extLst>
        </xdr:cNvPr>
        <xdr:cNvSpPr txBox="1"/>
      </xdr:nvSpPr>
      <xdr:spPr>
        <a:xfrm>
          <a:off x="4802505" y="7631430"/>
          <a:ext cx="106679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900" b="1"/>
        </a:p>
      </xdr:txBody>
    </xdr:sp>
    <xdr:clientData/>
  </xdr:oneCellAnchor>
  <xdr:twoCellAnchor>
    <xdr:from>
      <xdr:col>10</xdr:col>
      <xdr:colOff>99060</xdr:colOff>
      <xdr:row>42</xdr:row>
      <xdr:rowOff>152400</xdr:rowOff>
    </xdr:from>
    <xdr:to>
      <xdr:col>10</xdr:col>
      <xdr:colOff>426720</xdr:colOff>
      <xdr:row>43</xdr:row>
      <xdr:rowOff>83820</xdr:rowOff>
    </xdr:to>
    <xdr:sp macro="" textlink="">
      <xdr:nvSpPr>
        <xdr:cNvPr id="25" name="Freeform 26">
          <a:extLst>
            <a:ext uri="{FF2B5EF4-FFF2-40B4-BE49-F238E27FC236}">
              <a16:creationId xmlns:a16="http://schemas.microsoft.com/office/drawing/2014/main" id="{00000000-0008-0000-0A00-000019000000}"/>
            </a:ext>
          </a:extLst>
        </xdr:cNvPr>
        <xdr:cNvSpPr/>
      </xdr:nvSpPr>
      <xdr:spPr bwMode="auto">
        <a:xfrm>
          <a:off x="4528185" y="7753350"/>
          <a:ext cx="327660" cy="102870"/>
        </a:xfrm>
        <a:custGeom>
          <a:avLst/>
          <a:gdLst>
            <a:gd name="connsiteX0" fmla="*/ 327660 w 327660"/>
            <a:gd name="connsiteY0" fmla="*/ 106680 h 106680"/>
            <a:gd name="connsiteX1" fmla="*/ 0 w 327660"/>
            <a:gd name="connsiteY1" fmla="*/ 0 h 106680"/>
            <a:gd name="connsiteX2" fmla="*/ 0 w 327660"/>
            <a:gd name="connsiteY2" fmla="*/ 0 h 106680"/>
          </a:gdLst>
          <a:ahLst/>
          <a:cxnLst>
            <a:cxn ang="0">
              <a:pos x="connsiteX0" y="connsiteY0"/>
            </a:cxn>
            <a:cxn ang="0">
              <a:pos x="connsiteX1" y="connsiteY1"/>
            </a:cxn>
            <a:cxn ang="0">
              <a:pos x="connsiteX2" y="connsiteY2"/>
            </a:cxn>
          </a:cxnLst>
          <a:rect l="l" t="t" r="r" b="b"/>
          <a:pathLst>
            <a:path w="327660" h="106680">
              <a:moveTo>
                <a:pt x="327660" y="106680"/>
              </a:moveTo>
              <a:lnTo>
                <a:pt x="0" y="0"/>
              </a:lnTo>
              <a:lnTo>
                <a:pt x="0" y="0"/>
              </a:lnTo>
            </a:path>
          </a:pathLst>
        </a:custGeom>
        <a:noFill/>
        <a:ln w="9525" cap="flat" cmpd="sng" algn="ctr">
          <a:noFill/>
          <a:prstDash val="solid"/>
          <a:round/>
          <a:headEnd type="none" w="med" len="med"/>
          <a:tailEnd type="none" w="med" len="med"/>
        </a:ln>
        <a:effectLst/>
      </xdr:spPr>
      <xdr:txBody>
        <a:bodyPr vertOverflow="clip" horzOverflow="clip" wrap="none" lIns="18288" tIns="0" rIns="0" bIns="0" rtlCol="0" anchor="t" upright="1">
          <a:spAutoFit/>
        </a:bodyPr>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583046</xdr:colOff>
      <xdr:row>25</xdr:row>
      <xdr:rowOff>146453</xdr:rowOff>
    </xdr:from>
    <xdr:to>
      <xdr:col>12</xdr:col>
      <xdr:colOff>2018381</xdr:colOff>
      <xdr:row>47</xdr:row>
      <xdr:rowOff>104636</xdr:rowOff>
    </xdr:to>
    <xdr:sp macro="" textlink="">
      <xdr:nvSpPr>
        <xdr:cNvPr id="3" name="Freeform 2">
          <a:extLst>
            <a:ext uri="{FF2B5EF4-FFF2-40B4-BE49-F238E27FC236}">
              <a16:creationId xmlns:a16="http://schemas.microsoft.com/office/drawing/2014/main" id="{00000000-0008-0000-0B00-000003000000}"/>
            </a:ext>
          </a:extLst>
        </xdr:cNvPr>
        <xdr:cNvSpPr>
          <a:spLocks/>
        </xdr:cNvSpPr>
      </xdr:nvSpPr>
      <xdr:spPr bwMode="auto">
        <a:xfrm>
          <a:off x="4426593" y="4816698"/>
          <a:ext cx="3668618" cy="3823296"/>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0 w 10000"/>
            <a:gd name="connsiteY0" fmla="*/ 9974 h 10000"/>
            <a:gd name="connsiteX1" fmla="*/ 0 w 10000"/>
            <a:gd name="connsiteY1" fmla="*/ 5692 h 10000"/>
            <a:gd name="connsiteX2" fmla="*/ 6044 w 10000"/>
            <a:gd name="connsiteY2" fmla="*/ 332 h 10000"/>
            <a:gd name="connsiteX3" fmla="*/ 9921 w 10000"/>
            <a:gd name="connsiteY3" fmla="*/ 0 h 10000"/>
            <a:gd name="connsiteX4" fmla="*/ 10000 w 10000"/>
            <a:gd name="connsiteY4" fmla="*/ 10000 h 10000"/>
            <a:gd name="connsiteX0" fmla="*/ 0 w 10000"/>
            <a:gd name="connsiteY0" fmla="*/ 9642 h 9668"/>
            <a:gd name="connsiteX1" fmla="*/ 0 w 10000"/>
            <a:gd name="connsiteY1" fmla="*/ 5360 h 9668"/>
            <a:gd name="connsiteX2" fmla="*/ 6044 w 10000"/>
            <a:gd name="connsiteY2" fmla="*/ 0 h 9668"/>
            <a:gd name="connsiteX3" fmla="*/ 9921 w 10000"/>
            <a:gd name="connsiteY3" fmla="*/ 31 h 9668"/>
            <a:gd name="connsiteX4" fmla="*/ 10000 w 10000"/>
            <a:gd name="connsiteY4" fmla="*/ 9668 h 9668"/>
            <a:gd name="connsiteX0" fmla="*/ 0 w 10000"/>
            <a:gd name="connsiteY0" fmla="*/ 9973 h 10000"/>
            <a:gd name="connsiteX1" fmla="*/ 0 w 10000"/>
            <a:gd name="connsiteY1" fmla="*/ 7087 h 10000"/>
            <a:gd name="connsiteX2" fmla="*/ 6044 w 10000"/>
            <a:gd name="connsiteY2" fmla="*/ 0 h 10000"/>
            <a:gd name="connsiteX3" fmla="*/ 9921 w 10000"/>
            <a:gd name="connsiteY3" fmla="*/ 32 h 10000"/>
            <a:gd name="connsiteX4" fmla="*/ 10000 w 10000"/>
            <a:gd name="connsiteY4" fmla="*/ 10000 h 10000"/>
            <a:gd name="connsiteX0" fmla="*/ 0 w 10000"/>
            <a:gd name="connsiteY0" fmla="*/ 9961 h 9988"/>
            <a:gd name="connsiteX1" fmla="*/ 0 w 10000"/>
            <a:gd name="connsiteY1" fmla="*/ 7075 h 9988"/>
            <a:gd name="connsiteX2" fmla="*/ 5972 w 10000"/>
            <a:gd name="connsiteY2" fmla="*/ 0 h 9988"/>
            <a:gd name="connsiteX3" fmla="*/ 9921 w 10000"/>
            <a:gd name="connsiteY3" fmla="*/ 20 h 9988"/>
            <a:gd name="connsiteX4" fmla="*/ 10000 w 10000"/>
            <a:gd name="connsiteY4" fmla="*/ 9988 h 9988"/>
            <a:gd name="connsiteX0" fmla="*/ 0 w 10000"/>
            <a:gd name="connsiteY0" fmla="*/ 9973 h 10000"/>
            <a:gd name="connsiteX1" fmla="*/ 0 w 10000"/>
            <a:gd name="connsiteY1" fmla="*/ 7084 h 10000"/>
            <a:gd name="connsiteX2" fmla="*/ 5972 w 10000"/>
            <a:gd name="connsiteY2" fmla="*/ 0 h 10000"/>
            <a:gd name="connsiteX3" fmla="*/ 9888 w 10000"/>
            <a:gd name="connsiteY3" fmla="*/ 20 h 10000"/>
            <a:gd name="connsiteX4" fmla="*/ 10000 w 10000"/>
            <a:gd name="connsiteY4" fmla="*/ 10000 h 10000"/>
            <a:gd name="connsiteX0" fmla="*/ 0 w 9894"/>
            <a:gd name="connsiteY0" fmla="*/ 9973 h 9973"/>
            <a:gd name="connsiteX1" fmla="*/ 0 w 9894"/>
            <a:gd name="connsiteY1" fmla="*/ 7084 h 9973"/>
            <a:gd name="connsiteX2" fmla="*/ 5972 w 9894"/>
            <a:gd name="connsiteY2" fmla="*/ 0 h 9973"/>
            <a:gd name="connsiteX3" fmla="*/ 9888 w 9894"/>
            <a:gd name="connsiteY3" fmla="*/ 20 h 9973"/>
            <a:gd name="connsiteX4" fmla="*/ 9883 w 9894"/>
            <a:gd name="connsiteY4" fmla="*/ 9950 h 9973"/>
            <a:gd name="connsiteX0" fmla="*/ 66 w 10066"/>
            <a:gd name="connsiteY0" fmla="*/ 10000 h 10000"/>
            <a:gd name="connsiteX1" fmla="*/ 0 w 10066"/>
            <a:gd name="connsiteY1" fmla="*/ 7116 h 10000"/>
            <a:gd name="connsiteX2" fmla="*/ 6102 w 10066"/>
            <a:gd name="connsiteY2" fmla="*/ 0 h 10000"/>
            <a:gd name="connsiteX3" fmla="*/ 10060 w 10066"/>
            <a:gd name="connsiteY3" fmla="*/ 20 h 10000"/>
            <a:gd name="connsiteX4" fmla="*/ 10055 w 10066"/>
            <a:gd name="connsiteY4" fmla="*/ 9977 h 10000"/>
            <a:gd name="connsiteX0" fmla="*/ 5 w 10084"/>
            <a:gd name="connsiteY0" fmla="*/ 9975 h 9977"/>
            <a:gd name="connsiteX1" fmla="*/ 18 w 10084"/>
            <a:gd name="connsiteY1" fmla="*/ 7116 h 9977"/>
            <a:gd name="connsiteX2" fmla="*/ 6120 w 10084"/>
            <a:gd name="connsiteY2" fmla="*/ 0 h 9977"/>
            <a:gd name="connsiteX3" fmla="*/ 10078 w 10084"/>
            <a:gd name="connsiteY3" fmla="*/ 20 h 9977"/>
            <a:gd name="connsiteX4" fmla="*/ 10073 w 10084"/>
            <a:gd name="connsiteY4" fmla="*/ 9977 h 9977"/>
            <a:gd name="connsiteX0" fmla="*/ 7 w 9989"/>
            <a:gd name="connsiteY0" fmla="*/ 9985 h 10000"/>
            <a:gd name="connsiteX1" fmla="*/ 7 w 9989"/>
            <a:gd name="connsiteY1" fmla="*/ 7132 h 10000"/>
            <a:gd name="connsiteX2" fmla="*/ 6058 w 9989"/>
            <a:gd name="connsiteY2" fmla="*/ 0 h 10000"/>
            <a:gd name="connsiteX3" fmla="*/ 9983 w 9989"/>
            <a:gd name="connsiteY3" fmla="*/ 20 h 10000"/>
            <a:gd name="connsiteX4" fmla="*/ 9978 w 9989"/>
            <a:gd name="connsiteY4" fmla="*/ 10000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89" h="10000">
              <a:moveTo>
                <a:pt x="7" y="9985"/>
              </a:moveTo>
              <a:cubicBezTo>
                <a:pt x="-15" y="9022"/>
                <a:pt x="29" y="8096"/>
                <a:pt x="7" y="7132"/>
              </a:cubicBezTo>
              <a:lnTo>
                <a:pt x="6058" y="0"/>
              </a:lnTo>
              <a:lnTo>
                <a:pt x="9983" y="20"/>
              </a:lnTo>
              <a:cubicBezTo>
                <a:pt x="10009" y="3489"/>
                <a:pt x="9952" y="6532"/>
                <a:pt x="9978" y="10000"/>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27</xdr:row>
      <xdr:rowOff>60960</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4200525" y="4509135"/>
          <a:ext cx="1150620" cy="53530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C182R (230 HP)</a:t>
          </a:r>
        </a:p>
        <a:p>
          <a:pPr algn="ctr" rtl="0">
            <a:defRPr sz="1000"/>
          </a:pPr>
          <a:r>
            <a:rPr lang="en-US" sz="800" b="0" i="1" u="none" strike="noStrike" baseline="0">
              <a:solidFill>
                <a:srgbClr val="FF0000"/>
              </a:solidFill>
              <a:latin typeface="Arial"/>
              <a:cs typeface="Arial"/>
            </a:rPr>
            <a:t>Dashed red line is LANDING weight limit.</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0B00-000005000000}"/>
            </a:ext>
          </a:extLst>
        </xdr:cNvPr>
        <xdr:cNvGrpSpPr>
          <a:grpSpLocks/>
        </xdr:cNvGrpSpPr>
      </xdr:nvGrpSpPr>
      <xdr:grpSpPr bwMode="auto">
        <a:xfrm>
          <a:off x="1028700" y="990600"/>
          <a:ext cx="1152525" cy="1476375"/>
          <a:chOff x="108" y="43"/>
          <a:chExt cx="121" cy="163"/>
        </a:xfrm>
      </xdr:grpSpPr>
      <xdr:sp macro="" textlink="">
        <xdr:nvSpPr>
          <xdr:cNvPr id="6" name="Freeform 10">
            <a:extLst>
              <a:ext uri="{FF2B5EF4-FFF2-40B4-BE49-F238E27FC236}">
                <a16:creationId xmlns:a16="http://schemas.microsoft.com/office/drawing/2014/main" id="{00000000-0008-0000-0B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0B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0B00-000008000000}"/>
            </a:ext>
          </a:extLst>
        </xdr:cNvPr>
        <xdr:cNvSpPr txBox="1">
          <a:spLocks noChangeArrowheads="1"/>
        </xdr:cNvSpPr>
      </xdr:nvSpPr>
      <xdr:spPr bwMode="auto">
        <a:xfrm>
          <a:off x="3507105" y="554164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0B00-000009000000}"/>
            </a:ext>
          </a:extLst>
        </xdr:cNvPr>
        <xdr:cNvSpPr txBox="1">
          <a:spLocks noChangeArrowheads="1"/>
        </xdr:cNvSpPr>
      </xdr:nvSpPr>
      <xdr:spPr bwMode="auto">
        <a:xfrm>
          <a:off x="5808345" y="4036695"/>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04785" y="33909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0B00-00000B000000}"/>
            </a:ext>
          </a:extLst>
        </xdr:cNvPr>
        <xdr:cNvSpPr>
          <a:spLocks/>
        </xdr:cNvSpPr>
      </xdr:nvSpPr>
      <xdr:spPr bwMode="auto">
        <a:xfrm>
          <a:off x="17461230" y="151828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0B00-00000C000000}"/>
            </a:ext>
          </a:extLst>
        </xdr:cNvPr>
        <xdr:cNvSpPr>
          <a:spLocks/>
        </xdr:cNvSpPr>
      </xdr:nvSpPr>
      <xdr:spPr bwMode="auto">
        <a:xfrm>
          <a:off x="20585430" y="1575435"/>
          <a:ext cx="116776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57150</xdr:colOff>
      <xdr:row>32</xdr:row>
      <xdr:rowOff>47625</xdr:rowOff>
    </xdr:from>
    <xdr:to>
      <xdr:col>27</xdr:col>
      <xdr:colOff>552450</xdr:colOff>
      <xdr:row>39</xdr:row>
      <xdr:rowOff>133350</xdr:rowOff>
    </xdr:to>
    <xdr:sp macro="" textlink="">
      <xdr:nvSpPr>
        <xdr:cNvPr id="13" name="Freeform 13">
          <a:extLst>
            <a:ext uri="{FF2B5EF4-FFF2-40B4-BE49-F238E27FC236}">
              <a16:creationId xmlns:a16="http://schemas.microsoft.com/office/drawing/2014/main" id="{00000000-0008-0000-0B00-00000D000000}"/>
            </a:ext>
          </a:extLst>
        </xdr:cNvPr>
        <xdr:cNvSpPr>
          <a:spLocks/>
        </xdr:cNvSpPr>
      </xdr:nvSpPr>
      <xdr:spPr bwMode="auto">
        <a:xfrm>
          <a:off x="17461230" y="5937885"/>
          <a:ext cx="1120140" cy="1304925"/>
        </a:xfrm>
        <a:custGeom>
          <a:avLst/>
          <a:gdLst>
            <a:gd name="T0" fmla="*/ 0 w 1247775"/>
            <a:gd name="T1" fmla="*/ 1454549 h 1152525"/>
            <a:gd name="T2" fmla="*/ 5856 w 1247775"/>
            <a:gd name="T3" fmla="*/ 685202 h 1152525"/>
            <a:gd name="T4" fmla="*/ 295231 w 1247775"/>
            <a:gd name="T5" fmla="*/ 0 h 1152525"/>
            <a:gd name="T6" fmla="*/ 767155 w 1247775"/>
            <a:gd name="T7" fmla="*/ 0 h 1152525"/>
            <a:gd name="T8" fmla="*/ 761299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32</xdr:row>
      <xdr:rowOff>60960</xdr:rowOff>
    </xdr:from>
    <xdr:to>
      <xdr:col>32</xdr:col>
      <xdr:colOff>600075</xdr:colOff>
      <xdr:row>40</xdr:row>
      <xdr:rowOff>28575</xdr:rowOff>
    </xdr:to>
    <xdr:sp macro="" textlink="">
      <xdr:nvSpPr>
        <xdr:cNvPr id="14" name="Freeform 16">
          <a:extLst>
            <a:ext uri="{FF2B5EF4-FFF2-40B4-BE49-F238E27FC236}">
              <a16:creationId xmlns:a16="http://schemas.microsoft.com/office/drawing/2014/main" id="{00000000-0008-0000-0B00-00000E000000}"/>
            </a:ext>
          </a:extLst>
        </xdr:cNvPr>
        <xdr:cNvSpPr>
          <a:spLocks/>
        </xdr:cNvSpPr>
      </xdr:nvSpPr>
      <xdr:spPr bwMode="auto">
        <a:xfrm>
          <a:off x="20585430" y="5951220"/>
          <a:ext cx="1167765" cy="1354455"/>
        </a:xfrm>
        <a:custGeom>
          <a:avLst/>
          <a:gdLst>
            <a:gd name="T0" fmla="*/ 0 w 1247775"/>
            <a:gd name="T1" fmla="*/ 1454549 h 1152525"/>
            <a:gd name="T2" fmla="*/ 6933 w 1247775"/>
            <a:gd name="T3" fmla="*/ 685202 h 1152525"/>
            <a:gd name="T4" fmla="*/ 349519 w 1247775"/>
            <a:gd name="T5" fmla="*/ 0 h 1152525"/>
            <a:gd name="T6" fmla="*/ 908224 w 1247775"/>
            <a:gd name="T7" fmla="*/ 0 h 1152525"/>
            <a:gd name="T8" fmla="*/ 901291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12</xdr:col>
      <xdr:colOff>205740</xdr:colOff>
      <xdr:row>28</xdr:row>
      <xdr:rowOff>137160</xdr:rowOff>
    </xdr:from>
    <xdr:to>
      <xdr:col>12</xdr:col>
      <xdr:colOff>2019300</xdr:colOff>
      <xdr:row>28</xdr:row>
      <xdr:rowOff>137160</xdr:rowOff>
    </xdr:to>
    <xdr:sp macro="" textlink="">
      <xdr:nvSpPr>
        <xdr:cNvPr id="15" name="Freeform 14">
          <a:extLst>
            <a:ext uri="{FF2B5EF4-FFF2-40B4-BE49-F238E27FC236}">
              <a16:creationId xmlns:a16="http://schemas.microsoft.com/office/drawing/2014/main" id="{00000000-0008-0000-0B00-00000F000000}"/>
            </a:ext>
          </a:extLst>
        </xdr:cNvPr>
        <xdr:cNvSpPr/>
      </xdr:nvSpPr>
      <xdr:spPr bwMode="auto">
        <a:xfrm>
          <a:off x="6286500" y="5295900"/>
          <a:ext cx="1813560" cy="0"/>
        </a:xfrm>
        <a:custGeom>
          <a:avLst/>
          <a:gdLst>
            <a:gd name="connsiteX0" fmla="*/ 0 w 1813560"/>
            <a:gd name="connsiteY0" fmla="*/ 0 h 0"/>
            <a:gd name="connsiteX1" fmla="*/ 1813560 w 1813560"/>
            <a:gd name="connsiteY1" fmla="*/ 0 h 0"/>
          </a:gdLst>
          <a:ahLst/>
          <a:cxnLst>
            <a:cxn ang="0">
              <a:pos x="connsiteX0" y="connsiteY0"/>
            </a:cxn>
            <a:cxn ang="0">
              <a:pos x="connsiteX1" y="connsiteY1"/>
            </a:cxn>
          </a:cxnLst>
          <a:rect l="l" t="t" r="r" b="b"/>
          <a:pathLst>
            <a:path w="1813560">
              <a:moveTo>
                <a:pt x="0" y="0"/>
              </a:moveTo>
              <a:lnTo>
                <a:pt x="1813560" y="0"/>
              </a:lnTo>
            </a:path>
          </a:pathLst>
        </a:custGeom>
        <a:noFill/>
        <a:ln w="19050" cap="flat" cmpd="sng" algn="ctr">
          <a:solidFill>
            <a:srgbClr val="FF0000"/>
          </a:solidFill>
          <a:prstDash val="dash"/>
          <a:round/>
          <a:headEnd type="none" w="med" len="med"/>
          <a:tailEnd type="none" w="med" len="med"/>
        </a:ln>
        <a:effectLst/>
      </xdr:spPr>
      <xdr:txBody>
        <a:bodyPr vertOverflow="clip" horzOverflow="clip" wrap="none" lIns="18288" tIns="0" rIns="0" bIns="0" rtlCol="0" anchor="t" upright="1">
          <a:spAutoFit/>
        </a:bodyPr>
        <a:lstStyle/>
        <a:p>
          <a:pPr algn="l"/>
          <a:endParaRPr lang="en-US" sz="1100"/>
        </a:p>
      </xdr:txBody>
    </xdr:sp>
    <xdr:clientData/>
  </xdr:twoCellAnchor>
  <xdr:oneCellAnchor>
    <xdr:from>
      <xdr:col>1</xdr:col>
      <xdr:colOff>0</xdr:colOff>
      <xdr:row>13</xdr:row>
      <xdr:rowOff>0</xdr:rowOff>
    </xdr:from>
    <xdr:ext cx="370486" cy="180819"/>
    <xdr:sp macro="" textlink="">
      <xdr:nvSpPr>
        <xdr:cNvPr id="16" name="TextBox 15">
          <a:extLst>
            <a:ext uri="{FF2B5EF4-FFF2-40B4-BE49-F238E27FC236}">
              <a16:creationId xmlns:a16="http://schemas.microsoft.com/office/drawing/2014/main" id="{00000000-0008-0000-0B00-000010000000}"/>
            </a:ext>
          </a:extLst>
        </xdr:cNvPr>
        <xdr:cNvSpPr txBox="1"/>
      </xdr:nvSpPr>
      <xdr:spPr>
        <a:xfrm>
          <a:off x="91440" y="2461260"/>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12</xdr:col>
      <xdr:colOff>190260</xdr:colOff>
      <xdr:row>25</xdr:row>
      <xdr:rowOff>149574</xdr:rowOff>
    </xdr:from>
    <xdr:to>
      <xdr:col>12</xdr:col>
      <xdr:colOff>2034540</xdr:colOff>
      <xdr:row>28</xdr:row>
      <xdr:rowOff>129541</xdr:rowOff>
    </xdr:to>
    <xdr:sp macro="" textlink="">
      <xdr:nvSpPr>
        <xdr:cNvPr id="17" name="Freeform 16">
          <a:extLst>
            <a:ext uri="{FF2B5EF4-FFF2-40B4-BE49-F238E27FC236}">
              <a16:creationId xmlns:a16="http://schemas.microsoft.com/office/drawing/2014/main" id="{00000000-0008-0000-0B00-000011000000}"/>
            </a:ext>
          </a:extLst>
        </xdr:cNvPr>
        <xdr:cNvSpPr/>
      </xdr:nvSpPr>
      <xdr:spPr bwMode="auto">
        <a:xfrm>
          <a:off x="6267090" y="4819819"/>
          <a:ext cx="1844280" cy="490364"/>
        </a:xfrm>
        <a:custGeom>
          <a:avLst/>
          <a:gdLst>
            <a:gd name="connsiteX0" fmla="*/ 381000 w 1805940"/>
            <a:gd name="connsiteY0" fmla="*/ 0 h 495300"/>
            <a:gd name="connsiteX1" fmla="*/ 1798320 w 1805940"/>
            <a:gd name="connsiteY1" fmla="*/ 15240 h 495300"/>
            <a:gd name="connsiteX2" fmla="*/ 1805940 w 1805940"/>
            <a:gd name="connsiteY2" fmla="*/ 495300 h 495300"/>
            <a:gd name="connsiteX3" fmla="*/ 0 w 1805940"/>
            <a:gd name="connsiteY3" fmla="*/ 487680 h 495300"/>
            <a:gd name="connsiteX4" fmla="*/ 381000 w 1805940"/>
            <a:gd name="connsiteY4" fmla="*/ 0 h 495300"/>
            <a:gd name="connsiteX0" fmla="*/ 402566 w 1827506"/>
            <a:gd name="connsiteY0" fmla="*/ 0 h 495300"/>
            <a:gd name="connsiteX1" fmla="*/ 1819886 w 1827506"/>
            <a:gd name="connsiteY1" fmla="*/ 15240 h 495300"/>
            <a:gd name="connsiteX2" fmla="*/ 1827506 w 1827506"/>
            <a:gd name="connsiteY2" fmla="*/ 495300 h 495300"/>
            <a:gd name="connsiteX3" fmla="*/ 0 w 1827506"/>
            <a:gd name="connsiteY3" fmla="*/ 487821 h 495300"/>
            <a:gd name="connsiteX4" fmla="*/ 402566 w 1827506"/>
            <a:gd name="connsiteY4" fmla="*/ 0 h 495300"/>
            <a:gd name="connsiteX0" fmla="*/ 373811 w 1827506"/>
            <a:gd name="connsiteY0" fmla="*/ 0 h 490506"/>
            <a:gd name="connsiteX1" fmla="*/ 1819886 w 1827506"/>
            <a:gd name="connsiteY1" fmla="*/ 10446 h 490506"/>
            <a:gd name="connsiteX2" fmla="*/ 1827506 w 1827506"/>
            <a:gd name="connsiteY2" fmla="*/ 490506 h 490506"/>
            <a:gd name="connsiteX3" fmla="*/ 0 w 1827506"/>
            <a:gd name="connsiteY3" fmla="*/ 483027 h 490506"/>
            <a:gd name="connsiteX4" fmla="*/ 373811 w 1827506"/>
            <a:gd name="connsiteY4" fmla="*/ 0 h 490506"/>
            <a:gd name="connsiteX0" fmla="*/ 390585 w 1844280"/>
            <a:gd name="connsiteY0" fmla="*/ 0 h 490506"/>
            <a:gd name="connsiteX1" fmla="*/ 1836660 w 1844280"/>
            <a:gd name="connsiteY1" fmla="*/ 10446 h 490506"/>
            <a:gd name="connsiteX2" fmla="*/ 1844280 w 1844280"/>
            <a:gd name="connsiteY2" fmla="*/ 490506 h 490506"/>
            <a:gd name="connsiteX3" fmla="*/ 0 w 1844280"/>
            <a:gd name="connsiteY3" fmla="*/ 483167 h 490506"/>
            <a:gd name="connsiteX4" fmla="*/ 390585 w 1844280"/>
            <a:gd name="connsiteY4" fmla="*/ 0 h 49050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44280" h="490506">
              <a:moveTo>
                <a:pt x="390585" y="0"/>
              </a:moveTo>
              <a:lnTo>
                <a:pt x="1836660" y="10446"/>
              </a:lnTo>
              <a:lnTo>
                <a:pt x="1844280" y="490506"/>
              </a:lnTo>
              <a:lnTo>
                <a:pt x="0" y="483167"/>
              </a:lnTo>
              <a:lnTo>
                <a:pt x="390585" y="0"/>
              </a:lnTo>
              <a:close/>
            </a:path>
          </a:pathLst>
        </a:custGeom>
        <a:solidFill>
          <a:srgbClr val="A6A6A6">
            <a:alpha val="25000"/>
          </a:srgbClr>
        </a:solidFill>
        <a:ln w="9525" cap="flat" cmpd="sng" algn="ctr">
          <a:noFill/>
          <a:prstDash val="solid"/>
          <a:round/>
          <a:headEnd type="none" w="med" len="med"/>
          <a:tailEnd type="none" w="med"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15</xdr:col>
      <xdr:colOff>121920</xdr:colOff>
      <xdr:row>2</xdr:row>
      <xdr:rowOff>167640</xdr:rowOff>
    </xdr:from>
    <xdr:to>
      <xdr:col>15</xdr:col>
      <xdr:colOff>390519</xdr:colOff>
      <xdr:row>4</xdr:row>
      <xdr:rowOff>87747</xdr:rowOff>
    </xdr:to>
    <xdr:sp macro="" textlink="">
      <xdr:nvSpPr>
        <xdr:cNvPr id="18" name="Freeform 17">
          <a:extLst>
            <a:ext uri="{FF2B5EF4-FFF2-40B4-BE49-F238E27FC236}">
              <a16:creationId xmlns:a16="http://schemas.microsoft.com/office/drawing/2014/main" id="{00000000-0008-0000-0B00-000012000000}"/>
            </a:ext>
          </a:extLst>
        </xdr:cNvPr>
        <xdr:cNvSpPr/>
      </xdr:nvSpPr>
      <xdr:spPr bwMode="auto">
        <a:xfrm>
          <a:off x="9380220" y="640080"/>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352425</xdr:colOff>
      <xdr:row>24</xdr:row>
      <xdr:rowOff>28575</xdr:rowOff>
    </xdr:from>
    <xdr:to>
      <xdr:col>11</xdr:col>
      <xdr:colOff>85725</xdr:colOff>
      <xdr:row>27</xdr:row>
      <xdr:rowOff>60960</xdr:rowOff>
    </xdr:to>
    <xdr:sp macro="" textlink="">
      <xdr:nvSpPr>
        <xdr:cNvPr id="4" name="Text Box 3">
          <a:extLst>
            <a:ext uri="{FF2B5EF4-FFF2-40B4-BE49-F238E27FC236}">
              <a16:creationId xmlns:a16="http://schemas.microsoft.com/office/drawing/2014/main" id="{00000000-0008-0000-0C00-000004000000}"/>
            </a:ext>
          </a:extLst>
        </xdr:cNvPr>
        <xdr:cNvSpPr txBox="1">
          <a:spLocks noChangeArrowheads="1"/>
        </xdr:cNvSpPr>
      </xdr:nvSpPr>
      <xdr:spPr bwMode="auto">
        <a:xfrm>
          <a:off x="4200525" y="4509135"/>
          <a:ext cx="1150620" cy="53530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C182T (230 HP)</a:t>
          </a:r>
        </a:p>
        <a:p>
          <a:pPr algn="ctr" rtl="0">
            <a:defRPr sz="1000"/>
          </a:pPr>
          <a:r>
            <a:rPr lang="en-US" sz="800" b="0" i="1" u="none" strike="noStrike" baseline="0">
              <a:solidFill>
                <a:srgbClr val="FF0000"/>
              </a:solidFill>
              <a:latin typeface="Arial"/>
              <a:cs typeface="Arial"/>
            </a:rPr>
            <a:t>Dashed red line is LANDING weight limit.</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0C00-000005000000}"/>
            </a:ext>
          </a:extLst>
        </xdr:cNvPr>
        <xdr:cNvGrpSpPr>
          <a:grpSpLocks/>
        </xdr:cNvGrpSpPr>
      </xdr:nvGrpSpPr>
      <xdr:grpSpPr bwMode="auto">
        <a:xfrm>
          <a:off x="1028700" y="981075"/>
          <a:ext cx="1152525" cy="1476375"/>
          <a:chOff x="108" y="43"/>
          <a:chExt cx="121" cy="163"/>
        </a:xfrm>
      </xdr:grpSpPr>
      <xdr:sp macro="" textlink="">
        <xdr:nvSpPr>
          <xdr:cNvPr id="6" name="Freeform 10">
            <a:extLst>
              <a:ext uri="{FF2B5EF4-FFF2-40B4-BE49-F238E27FC236}">
                <a16:creationId xmlns:a16="http://schemas.microsoft.com/office/drawing/2014/main" id="{00000000-0008-0000-0C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0C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0C00-000008000000}"/>
            </a:ext>
          </a:extLst>
        </xdr:cNvPr>
        <xdr:cNvSpPr txBox="1">
          <a:spLocks noChangeArrowheads="1"/>
        </xdr:cNvSpPr>
      </xdr:nvSpPr>
      <xdr:spPr bwMode="auto">
        <a:xfrm>
          <a:off x="3507105" y="554164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0C00-000009000000}"/>
            </a:ext>
          </a:extLst>
        </xdr:cNvPr>
        <xdr:cNvSpPr txBox="1">
          <a:spLocks noChangeArrowheads="1"/>
        </xdr:cNvSpPr>
      </xdr:nvSpPr>
      <xdr:spPr bwMode="auto">
        <a:xfrm>
          <a:off x="5808345" y="4036695"/>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04785" y="33909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0C00-00000B000000}"/>
            </a:ext>
          </a:extLst>
        </xdr:cNvPr>
        <xdr:cNvSpPr>
          <a:spLocks/>
        </xdr:cNvSpPr>
      </xdr:nvSpPr>
      <xdr:spPr bwMode="auto">
        <a:xfrm>
          <a:off x="17461230" y="151828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0C00-00000C000000}"/>
            </a:ext>
          </a:extLst>
        </xdr:cNvPr>
        <xdr:cNvSpPr>
          <a:spLocks/>
        </xdr:cNvSpPr>
      </xdr:nvSpPr>
      <xdr:spPr bwMode="auto">
        <a:xfrm>
          <a:off x="20585430" y="1575435"/>
          <a:ext cx="116776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6476 w 1247775"/>
            <a:gd name="connsiteY2" fmla="*/ 256982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42487 w 1247775"/>
            <a:gd name="connsiteY2" fmla="*/ 207143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42487" y="207143"/>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11</xdr:col>
      <xdr:colOff>764646</xdr:colOff>
      <xdr:row>28</xdr:row>
      <xdr:rowOff>137160</xdr:rowOff>
    </xdr:from>
    <xdr:to>
      <xdr:col>12</xdr:col>
      <xdr:colOff>2019299</xdr:colOff>
      <xdr:row>28</xdr:row>
      <xdr:rowOff>137160</xdr:rowOff>
    </xdr:to>
    <xdr:sp macro="" textlink="">
      <xdr:nvSpPr>
        <xdr:cNvPr id="15" name="Freeform 14">
          <a:extLst>
            <a:ext uri="{FF2B5EF4-FFF2-40B4-BE49-F238E27FC236}">
              <a16:creationId xmlns:a16="http://schemas.microsoft.com/office/drawing/2014/main" id="{00000000-0008-0000-0C00-00000F000000}"/>
            </a:ext>
          </a:extLst>
        </xdr:cNvPr>
        <xdr:cNvSpPr/>
      </xdr:nvSpPr>
      <xdr:spPr bwMode="auto">
        <a:xfrm>
          <a:off x="6026759" y="5317802"/>
          <a:ext cx="2069370" cy="0"/>
        </a:xfrm>
        <a:custGeom>
          <a:avLst/>
          <a:gdLst>
            <a:gd name="connsiteX0" fmla="*/ 0 w 1813560"/>
            <a:gd name="connsiteY0" fmla="*/ 0 h 0"/>
            <a:gd name="connsiteX1" fmla="*/ 1813560 w 1813560"/>
            <a:gd name="connsiteY1" fmla="*/ 0 h 0"/>
            <a:gd name="connsiteX0" fmla="*/ 0 w 11176"/>
            <a:gd name="connsiteY0" fmla="*/ 0 h 0"/>
            <a:gd name="connsiteX1" fmla="*/ 11176 w 11176"/>
            <a:gd name="connsiteY1" fmla="*/ 0 h 0"/>
            <a:gd name="connsiteX0" fmla="*/ 0 w 10213"/>
            <a:gd name="connsiteY0" fmla="*/ -2396 h 0"/>
            <a:gd name="connsiteX1" fmla="*/ 10213 w 10213"/>
            <a:gd name="connsiteY1" fmla="*/ 0 h 0"/>
          </a:gdLst>
          <a:ahLst/>
          <a:cxnLst>
            <a:cxn ang="0">
              <a:pos x="connsiteX0" y="connsiteY0"/>
            </a:cxn>
            <a:cxn ang="0">
              <a:pos x="connsiteX1" y="connsiteY1"/>
            </a:cxn>
          </a:cxnLst>
          <a:rect l="l" t="t" r="r" b="b"/>
          <a:pathLst>
            <a:path w="10213">
              <a:moveTo>
                <a:pt x="0" y="-2396"/>
              </a:moveTo>
              <a:lnTo>
                <a:pt x="10213" y="0"/>
              </a:lnTo>
            </a:path>
          </a:pathLst>
        </a:custGeom>
        <a:noFill/>
        <a:ln w="19050" cap="flat" cmpd="sng" algn="ctr">
          <a:solidFill>
            <a:srgbClr val="FF0000"/>
          </a:solidFill>
          <a:prstDash val="dash"/>
          <a:round/>
          <a:headEnd type="none" w="med" len="med"/>
          <a:tailEnd type="none" w="med"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38100</xdr:colOff>
      <xdr:row>9</xdr:row>
      <xdr:rowOff>91440</xdr:rowOff>
    </xdr:from>
    <xdr:to>
      <xdr:col>26</xdr:col>
      <xdr:colOff>167640</xdr:colOff>
      <xdr:row>9</xdr:row>
      <xdr:rowOff>114300</xdr:rowOff>
    </xdr:to>
    <xdr:sp macro="" textlink="">
      <xdr:nvSpPr>
        <xdr:cNvPr id="16" name="Freeform 15">
          <a:extLst>
            <a:ext uri="{FF2B5EF4-FFF2-40B4-BE49-F238E27FC236}">
              <a16:creationId xmlns:a16="http://schemas.microsoft.com/office/drawing/2014/main" id="{00000000-0008-0000-0C00-000010000000}"/>
            </a:ext>
          </a:extLst>
        </xdr:cNvPr>
        <xdr:cNvSpPr/>
      </xdr:nvSpPr>
      <xdr:spPr bwMode="auto">
        <a:xfrm>
          <a:off x="17442180" y="179070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30480</xdr:colOff>
      <xdr:row>9</xdr:row>
      <xdr:rowOff>106680</xdr:rowOff>
    </xdr:from>
    <xdr:to>
      <xdr:col>31</xdr:col>
      <xdr:colOff>160020</xdr:colOff>
      <xdr:row>9</xdr:row>
      <xdr:rowOff>129540</xdr:rowOff>
    </xdr:to>
    <xdr:sp macro="" textlink="">
      <xdr:nvSpPr>
        <xdr:cNvPr id="17" name="Freeform 16">
          <a:extLst>
            <a:ext uri="{FF2B5EF4-FFF2-40B4-BE49-F238E27FC236}">
              <a16:creationId xmlns:a16="http://schemas.microsoft.com/office/drawing/2014/main" id="{00000000-0008-0000-0C00-000011000000}"/>
            </a:ext>
          </a:extLst>
        </xdr:cNvPr>
        <xdr:cNvSpPr/>
      </xdr:nvSpPr>
      <xdr:spPr bwMode="auto">
        <a:xfrm>
          <a:off x="20558760" y="180594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64770</xdr:colOff>
      <xdr:row>32</xdr:row>
      <xdr:rowOff>9525</xdr:rowOff>
    </xdr:from>
    <xdr:to>
      <xdr:col>27</xdr:col>
      <xdr:colOff>560070</xdr:colOff>
      <xdr:row>40</xdr:row>
      <xdr:rowOff>32385</xdr:rowOff>
    </xdr:to>
    <xdr:sp macro="" textlink="">
      <xdr:nvSpPr>
        <xdr:cNvPr id="18" name="Freeform 26">
          <a:extLst>
            <a:ext uri="{FF2B5EF4-FFF2-40B4-BE49-F238E27FC236}">
              <a16:creationId xmlns:a16="http://schemas.microsoft.com/office/drawing/2014/main" id="{00000000-0008-0000-0C00-000012000000}"/>
            </a:ext>
          </a:extLst>
        </xdr:cNvPr>
        <xdr:cNvSpPr>
          <a:spLocks/>
        </xdr:cNvSpPr>
      </xdr:nvSpPr>
      <xdr:spPr bwMode="auto">
        <a:xfrm>
          <a:off x="17468850" y="589978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26670</xdr:colOff>
      <xdr:row>32</xdr:row>
      <xdr:rowOff>40005</xdr:rowOff>
    </xdr:from>
    <xdr:to>
      <xdr:col>32</xdr:col>
      <xdr:colOff>521970</xdr:colOff>
      <xdr:row>40</xdr:row>
      <xdr:rowOff>62865</xdr:rowOff>
    </xdr:to>
    <xdr:sp macro="" textlink="">
      <xdr:nvSpPr>
        <xdr:cNvPr id="19" name="Freeform 26">
          <a:extLst>
            <a:ext uri="{FF2B5EF4-FFF2-40B4-BE49-F238E27FC236}">
              <a16:creationId xmlns:a16="http://schemas.microsoft.com/office/drawing/2014/main" id="{00000000-0008-0000-0C00-000013000000}"/>
            </a:ext>
          </a:extLst>
        </xdr:cNvPr>
        <xdr:cNvSpPr>
          <a:spLocks/>
        </xdr:cNvSpPr>
      </xdr:nvSpPr>
      <xdr:spPr bwMode="auto">
        <a:xfrm>
          <a:off x="20554950" y="593026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38100</xdr:colOff>
      <xdr:row>33</xdr:row>
      <xdr:rowOff>121920</xdr:rowOff>
    </xdr:from>
    <xdr:to>
      <xdr:col>26</xdr:col>
      <xdr:colOff>167640</xdr:colOff>
      <xdr:row>33</xdr:row>
      <xdr:rowOff>144780</xdr:rowOff>
    </xdr:to>
    <xdr:sp macro="" textlink="">
      <xdr:nvSpPr>
        <xdr:cNvPr id="20" name="Freeform 19">
          <a:extLst>
            <a:ext uri="{FF2B5EF4-FFF2-40B4-BE49-F238E27FC236}">
              <a16:creationId xmlns:a16="http://schemas.microsoft.com/office/drawing/2014/main" id="{00000000-0008-0000-0C00-000014000000}"/>
            </a:ext>
          </a:extLst>
        </xdr:cNvPr>
        <xdr:cNvSpPr/>
      </xdr:nvSpPr>
      <xdr:spPr bwMode="auto">
        <a:xfrm>
          <a:off x="17442180" y="617982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38100</xdr:colOff>
      <xdr:row>59</xdr:row>
      <xdr:rowOff>38100</xdr:rowOff>
    </xdr:from>
    <xdr:to>
      <xdr:col>26</xdr:col>
      <xdr:colOff>167640</xdr:colOff>
      <xdr:row>59</xdr:row>
      <xdr:rowOff>60960</xdr:rowOff>
    </xdr:to>
    <xdr:sp macro="" textlink="">
      <xdr:nvSpPr>
        <xdr:cNvPr id="21" name="Freeform 20">
          <a:extLst>
            <a:ext uri="{FF2B5EF4-FFF2-40B4-BE49-F238E27FC236}">
              <a16:creationId xmlns:a16="http://schemas.microsoft.com/office/drawing/2014/main" id="{00000000-0008-0000-0C00-000015000000}"/>
            </a:ext>
          </a:extLst>
        </xdr:cNvPr>
        <xdr:cNvSpPr/>
      </xdr:nvSpPr>
      <xdr:spPr bwMode="auto">
        <a:xfrm>
          <a:off x="17442180" y="1056894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0</xdr:colOff>
      <xdr:row>33</xdr:row>
      <xdr:rowOff>114300</xdr:rowOff>
    </xdr:from>
    <xdr:to>
      <xdr:col>31</xdr:col>
      <xdr:colOff>129540</xdr:colOff>
      <xdr:row>33</xdr:row>
      <xdr:rowOff>137160</xdr:rowOff>
    </xdr:to>
    <xdr:sp macro="" textlink="">
      <xdr:nvSpPr>
        <xdr:cNvPr id="22" name="Freeform 21">
          <a:extLst>
            <a:ext uri="{FF2B5EF4-FFF2-40B4-BE49-F238E27FC236}">
              <a16:creationId xmlns:a16="http://schemas.microsoft.com/office/drawing/2014/main" id="{00000000-0008-0000-0C00-000016000000}"/>
            </a:ext>
          </a:extLst>
        </xdr:cNvPr>
        <xdr:cNvSpPr/>
      </xdr:nvSpPr>
      <xdr:spPr bwMode="auto">
        <a:xfrm>
          <a:off x="20528280" y="617220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oneCellAnchor>
    <xdr:from>
      <xdr:col>1</xdr:col>
      <xdr:colOff>0</xdr:colOff>
      <xdr:row>13</xdr:row>
      <xdr:rowOff>0</xdr:rowOff>
    </xdr:from>
    <xdr:ext cx="370486" cy="180819"/>
    <xdr:sp macro="" textlink="">
      <xdr:nvSpPr>
        <xdr:cNvPr id="23" name="TextBox 22">
          <a:extLst>
            <a:ext uri="{FF2B5EF4-FFF2-40B4-BE49-F238E27FC236}">
              <a16:creationId xmlns:a16="http://schemas.microsoft.com/office/drawing/2014/main" id="{00000000-0008-0000-0C00-000017000000}"/>
            </a:ext>
          </a:extLst>
        </xdr:cNvPr>
        <xdr:cNvSpPr txBox="1"/>
      </xdr:nvSpPr>
      <xdr:spPr>
        <a:xfrm>
          <a:off x="91440" y="2392680"/>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15</xdr:col>
      <xdr:colOff>114300</xdr:colOff>
      <xdr:row>2</xdr:row>
      <xdr:rowOff>152400</xdr:rowOff>
    </xdr:from>
    <xdr:to>
      <xdr:col>15</xdr:col>
      <xdr:colOff>382899</xdr:colOff>
      <xdr:row>4</xdr:row>
      <xdr:rowOff>72507</xdr:rowOff>
    </xdr:to>
    <xdr:sp macro="" textlink="">
      <xdr:nvSpPr>
        <xdr:cNvPr id="24" name="Freeform 23">
          <a:extLst>
            <a:ext uri="{FF2B5EF4-FFF2-40B4-BE49-F238E27FC236}">
              <a16:creationId xmlns:a16="http://schemas.microsoft.com/office/drawing/2014/main" id="{00000000-0008-0000-0C00-000018000000}"/>
            </a:ext>
          </a:extLst>
        </xdr:cNvPr>
        <xdr:cNvSpPr/>
      </xdr:nvSpPr>
      <xdr:spPr bwMode="auto">
        <a:xfrm>
          <a:off x="9372600" y="624840"/>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twoCellAnchor>
    <xdr:from>
      <xdr:col>9</xdr:col>
      <xdr:colOff>594360</xdr:colOff>
      <xdr:row>25</xdr:row>
      <xdr:rowOff>129540</xdr:rowOff>
    </xdr:from>
    <xdr:to>
      <xdr:col>12</xdr:col>
      <xdr:colOff>2019709</xdr:colOff>
      <xdr:row>47</xdr:row>
      <xdr:rowOff>117304</xdr:rowOff>
    </xdr:to>
    <xdr:sp macro="" textlink="">
      <xdr:nvSpPr>
        <xdr:cNvPr id="25" name="Freeform 24">
          <a:extLst>
            <a:ext uri="{FF2B5EF4-FFF2-40B4-BE49-F238E27FC236}">
              <a16:creationId xmlns:a16="http://schemas.microsoft.com/office/drawing/2014/main" id="{00000000-0008-0000-0C00-000019000000}"/>
            </a:ext>
          </a:extLst>
        </xdr:cNvPr>
        <xdr:cNvSpPr>
          <a:spLocks/>
        </xdr:cNvSpPr>
      </xdr:nvSpPr>
      <xdr:spPr bwMode="auto">
        <a:xfrm>
          <a:off x="4437907" y="4799785"/>
          <a:ext cx="3658632" cy="3852877"/>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0 w 10000"/>
            <a:gd name="connsiteY0" fmla="*/ 9974 h 10000"/>
            <a:gd name="connsiteX1" fmla="*/ 0 w 10000"/>
            <a:gd name="connsiteY1" fmla="*/ 5692 h 10000"/>
            <a:gd name="connsiteX2" fmla="*/ 6044 w 10000"/>
            <a:gd name="connsiteY2" fmla="*/ 332 h 10000"/>
            <a:gd name="connsiteX3" fmla="*/ 9921 w 10000"/>
            <a:gd name="connsiteY3" fmla="*/ 0 h 10000"/>
            <a:gd name="connsiteX4" fmla="*/ 10000 w 10000"/>
            <a:gd name="connsiteY4" fmla="*/ 10000 h 10000"/>
            <a:gd name="connsiteX0" fmla="*/ 0 w 10000"/>
            <a:gd name="connsiteY0" fmla="*/ 9642 h 9668"/>
            <a:gd name="connsiteX1" fmla="*/ 0 w 10000"/>
            <a:gd name="connsiteY1" fmla="*/ 5360 h 9668"/>
            <a:gd name="connsiteX2" fmla="*/ 6044 w 10000"/>
            <a:gd name="connsiteY2" fmla="*/ 0 h 9668"/>
            <a:gd name="connsiteX3" fmla="*/ 9921 w 10000"/>
            <a:gd name="connsiteY3" fmla="*/ 31 h 9668"/>
            <a:gd name="connsiteX4" fmla="*/ 10000 w 10000"/>
            <a:gd name="connsiteY4" fmla="*/ 9668 h 9668"/>
            <a:gd name="connsiteX0" fmla="*/ 0 w 10000"/>
            <a:gd name="connsiteY0" fmla="*/ 9973 h 10000"/>
            <a:gd name="connsiteX1" fmla="*/ 0 w 10000"/>
            <a:gd name="connsiteY1" fmla="*/ 7087 h 10000"/>
            <a:gd name="connsiteX2" fmla="*/ 6044 w 10000"/>
            <a:gd name="connsiteY2" fmla="*/ 0 h 10000"/>
            <a:gd name="connsiteX3" fmla="*/ 9921 w 10000"/>
            <a:gd name="connsiteY3" fmla="*/ 32 h 10000"/>
            <a:gd name="connsiteX4" fmla="*/ 10000 w 10000"/>
            <a:gd name="connsiteY4" fmla="*/ 10000 h 10000"/>
            <a:gd name="connsiteX0" fmla="*/ 0 w 10000"/>
            <a:gd name="connsiteY0" fmla="*/ 9973 h 10000"/>
            <a:gd name="connsiteX1" fmla="*/ 0 w 10000"/>
            <a:gd name="connsiteY1" fmla="*/ 7087 h 10000"/>
            <a:gd name="connsiteX2" fmla="*/ 3251 w 10000"/>
            <a:gd name="connsiteY2" fmla="*/ 3310 h 10000"/>
            <a:gd name="connsiteX3" fmla="*/ 6044 w 10000"/>
            <a:gd name="connsiteY3" fmla="*/ 0 h 10000"/>
            <a:gd name="connsiteX4" fmla="*/ 9921 w 10000"/>
            <a:gd name="connsiteY4" fmla="*/ 32 h 10000"/>
            <a:gd name="connsiteX5" fmla="*/ 10000 w 10000"/>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47 w 10021"/>
            <a:gd name="connsiteY2" fmla="*/ 2895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06 w 10021"/>
            <a:gd name="connsiteY2" fmla="*/ 3033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81 h 10008"/>
            <a:gd name="connsiteX1" fmla="*/ 0 w 10021"/>
            <a:gd name="connsiteY1" fmla="*/ 6482 h 10008"/>
            <a:gd name="connsiteX2" fmla="*/ 1906 w 10021"/>
            <a:gd name="connsiteY2" fmla="*/ 3041 h 10008"/>
            <a:gd name="connsiteX3" fmla="*/ 6065 w 10021"/>
            <a:gd name="connsiteY3" fmla="*/ 8 h 10008"/>
            <a:gd name="connsiteX4" fmla="*/ 9942 w 10021"/>
            <a:gd name="connsiteY4" fmla="*/ 0 h 10008"/>
            <a:gd name="connsiteX5" fmla="*/ 10021 w 10021"/>
            <a:gd name="connsiteY5" fmla="*/ 10008 h 10008"/>
            <a:gd name="connsiteX0" fmla="*/ 21 w 10021"/>
            <a:gd name="connsiteY0" fmla="*/ 10013 h 10040"/>
            <a:gd name="connsiteX1" fmla="*/ 0 w 10021"/>
            <a:gd name="connsiteY1" fmla="*/ 6514 h 10040"/>
            <a:gd name="connsiteX2" fmla="*/ 1906 w 10021"/>
            <a:gd name="connsiteY2" fmla="*/ 3073 h 10040"/>
            <a:gd name="connsiteX3" fmla="*/ 6127 w 10021"/>
            <a:gd name="connsiteY3" fmla="*/ 0 h 10040"/>
            <a:gd name="connsiteX4" fmla="*/ 9942 w 10021"/>
            <a:gd name="connsiteY4" fmla="*/ 32 h 10040"/>
            <a:gd name="connsiteX5" fmla="*/ 10021 w 10021"/>
            <a:gd name="connsiteY5" fmla="*/ 10040 h 10040"/>
            <a:gd name="connsiteX0" fmla="*/ 21 w 10021"/>
            <a:gd name="connsiteY0" fmla="*/ 10021 h 10048"/>
            <a:gd name="connsiteX1" fmla="*/ 0 w 10021"/>
            <a:gd name="connsiteY1" fmla="*/ 6522 h 10048"/>
            <a:gd name="connsiteX2" fmla="*/ 1906 w 10021"/>
            <a:gd name="connsiteY2" fmla="*/ 3081 h 10048"/>
            <a:gd name="connsiteX3" fmla="*/ 6127 w 10021"/>
            <a:gd name="connsiteY3" fmla="*/ 8 h 10048"/>
            <a:gd name="connsiteX4" fmla="*/ 9880 w 10021"/>
            <a:gd name="connsiteY4" fmla="*/ 0 h 10048"/>
            <a:gd name="connsiteX5" fmla="*/ 10021 w 10021"/>
            <a:gd name="connsiteY5" fmla="*/ 10048 h 10048"/>
            <a:gd name="connsiteX0" fmla="*/ 21 w 10021"/>
            <a:gd name="connsiteY0" fmla="*/ 10021 h 10048"/>
            <a:gd name="connsiteX1" fmla="*/ 0 w 10021"/>
            <a:gd name="connsiteY1" fmla="*/ 6522 h 10048"/>
            <a:gd name="connsiteX2" fmla="*/ 1906 w 10021"/>
            <a:gd name="connsiteY2" fmla="*/ 3081 h 10048"/>
            <a:gd name="connsiteX3" fmla="*/ 6075 w 10021"/>
            <a:gd name="connsiteY3" fmla="*/ 8 h 10048"/>
            <a:gd name="connsiteX4" fmla="*/ 9880 w 10021"/>
            <a:gd name="connsiteY4" fmla="*/ 0 h 10048"/>
            <a:gd name="connsiteX5" fmla="*/ 10021 w 10021"/>
            <a:gd name="connsiteY5" fmla="*/ 10048 h 10048"/>
            <a:gd name="connsiteX0" fmla="*/ 21 w 10021"/>
            <a:gd name="connsiteY0" fmla="*/ 10021 h 10048"/>
            <a:gd name="connsiteX1" fmla="*/ 0 w 10021"/>
            <a:gd name="connsiteY1" fmla="*/ 6522 h 10048"/>
            <a:gd name="connsiteX2" fmla="*/ 1906 w 10021"/>
            <a:gd name="connsiteY2" fmla="*/ 3081 h 10048"/>
            <a:gd name="connsiteX3" fmla="*/ 6052 w 10021"/>
            <a:gd name="connsiteY3" fmla="*/ 8 h 10048"/>
            <a:gd name="connsiteX4" fmla="*/ 9880 w 10021"/>
            <a:gd name="connsiteY4" fmla="*/ 0 h 10048"/>
            <a:gd name="connsiteX5" fmla="*/ 10021 w 10021"/>
            <a:gd name="connsiteY5" fmla="*/ 10048 h 10048"/>
            <a:gd name="connsiteX0" fmla="*/ 21 w 10021"/>
            <a:gd name="connsiteY0" fmla="*/ 10021 h 10048"/>
            <a:gd name="connsiteX1" fmla="*/ 0 w 10021"/>
            <a:gd name="connsiteY1" fmla="*/ 6522 h 10048"/>
            <a:gd name="connsiteX2" fmla="*/ 1865 w 10021"/>
            <a:gd name="connsiteY2" fmla="*/ 3081 h 10048"/>
            <a:gd name="connsiteX3" fmla="*/ 6052 w 10021"/>
            <a:gd name="connsiteY3" fmla="*/ 8 h 10048"/>
            <a:gd name="connsiteX4" fmla="*/ 9880 w 10021"/>
            <a:gd name="connsiteY4" fmla="*/ 0 h 10048"/>
            <a:gd name="connsiteX5" fmla="*/ 10021 w 10021"/>
            <a:gd name="connsiteY5" fmla="*/ 10048 h 10048"/>
            <a:gd name="connsiteX0" fmla="*/ 73 w 10073"/>
            <a:gd name="connsiteY0" fmla="*/ 10021 h 10048"/>
            <a:gd name="connsiteX1" fmla="*/ 0 w 10073"/>
            <a:gd name="connsiteY1" fmla="*/ 6528 h 10048"/>
            <a:gd name="connsiteX2" fmla="*/ 1917 w 10073"/>
            <a:gd name="connsiteY2" fmla="*/ 3081 h 10048"/>
            <a:gd name="connsiteX3" fmla="*/ 6104 w 10073"/>
            <a:gd name="connsiteY3" fmla="*/ 8 h 10048"/>
            <a:gd name="connsiteX4" fmla="*/ 9932 w 10073"/>
            <a:gd name="connsiteY4" fmla="*/ 0 h 10048"/>
            <a:gd name="connsiteX5" fmla="*/ 10073 w 10073"/>
            <a:gd name="connsiteY5" fmla="*/ 10048 h 10048"/>
            <a:gd name="connsiteX0" fmla="*/ 3 w 10073"/>
            <a:gd name="connsiteY0" fmla="*/ 10015 h 10048"/>
            <a:gd name="connsiteX1" fmla="*/ 0 w 10073"/>
            <a:gd name="connsiteY1" fmla="*/ 6528 h 10048"/>
            <a:gd name="connsiteX2" fmla="*/ 1917 w 10073"/>
            <a:gd name="connsiteY2" fmla="*/ 3081 h 10048"/>
            <a:gd name="connsiteX3" fmla="*/ 6104 w 10073"/>
            <a:gd name="connsiteY3" fmla="*/ 8 h 10048"/>
            <a:gd name="connsiteX4" fmla="*/ 9932 w 10073"/>
            <a:gd name="connsiteY4" fmla="*/ 0 h 10048"/>
            <a:gd name="connsiteX5" fmla="*/ 10073 w 10073"/>
            <a:gd name="connsiteY5" fmla="*/ 10048 h 10048"/>
            <a:gd name="connsiteX0" fmla="*/ 3 w 9939"/>
            <a:gd name="connsiteY0" fmla="*/ 10015 h 10015"/>
            <a:gd name="connsiteX1" fmla="*/ 0 w 9939"/>
            <a:gd name="connsiteY1" fmla="*/ 6528 h 10015"/>
            <a:gd name="connsiteX2" fmla="*/ 1917 w 9939"/>
            <a:gd name="connsiteY2" fmla="*/ 3081 h 10015"/>
            <a:gd name="connsiteX3" fmla="*/ 6104 w 9939"/>
            <a:gd name="connsiteY3" fmla="*/ 8 h 10015"/>
            <a:gd name="connsiteX4" fmla="*/ 9932 w 9939"/>
            <a:gd name="connsiteY4" fmla="*/ 0 h 10015"/>
            <a:gd name="connsiteX5" fmla="*/ 9934 w 9939"/>
            <a:gd name="connsiteY5" fmla="*/ 9998 h 10015"/>
            <a:gd name="connsiteX0" fmla="*/ 3 w 10000"/>
            <a:gd name="connsiteY0" fmla="*/ 10000 h 10000"/>
            <a:gd name="connsiteX1" fmla="*/ 0 w 10000"/>
            <a:gd name="connsiteY1" fmla="*/ 6518 h 10000"/>
            <a:gd name="connsiteX2" fmla="*/ 2008 w 10000"/>
            <a:gd name="connsiteY2" fmla="*/ 3057 h 10000"/>
            <a:gd name="connsiteX3" fmla="*/ 6141 w 10000"/>
            <a:gd name="connsiteY3" fmla="*/ 8 h 10000"/>
            <a:gd name="connsiteX4" fmla="*/ 9993 w 10000"/>
            <a:gd name="connsiteY4" fmla="*/ 0 h 10000"/>
            <a:gd name="connsiteX5" fmla="*/ 9995 w 10000"/>
            <a:gd name="connsiteY5" fmla="*/ 9983 h 10000"/>
            <a:gd name="connsiteX0" fmla="*/ 3 w 10000"/>
            <a:gd name="connsiteY0" fmla="*/ 10011 h 10011"/>
            <a:gd name="connsiteX1" fmla="*/ 0 w 10000"/>
            <a:gd name="connsiteY1" fmla="*/ 6529 h 10011"/>
            <a:gd name="connsiteX2" fmla="*/ 2008 w 10000"/>
            <a:gd name="connsiteY2" fmla="*/ 3068 h 10011"/>
            <a:gd name="connsiteX3" fmla="*/ 6134 w 10000"/>
            <a:gd name="connsiteY3" fmla="*/ 0 h 10011"/>
            <a:gd name="connsiteX4" fmla="*/ 9993 w 10000"/>
            <a:gd name="connsiteY4" fmla="*/ 11 h 10011"/>
            <a:gd name="connsiteX5" fmla="*/ 9995 w 10000"/>
            <a:gd name="connsiteY5" fmla="*/ 9994 h 10011"/>
            <a:gd name="connsiteX0" fmla="*/ 3 w 10000"/>
            <a:gd name="connsiteY0" fmla="*/ 10000 h 10000"/>
            <a:gd name="connsiteX1" fmla="*/ 0 w 10000"/>
            <a:gd name="connsiteY1" fmla="*/ 6518 h 10000"/>
            <a:gd name="connsiteX2" fmla="*/ 2008 w 10000"/>
            <a:gd name="connsiteY2" fmla="*/ 3057 h 10000"/>
            <a:gd name="connsiteX3" fmla="*/ 6055 w 10000"/>
            <a:gd name="connsiteY3" fmla="*/ 1 h 10000"/>
            <a:gd name="connsiteX4" fmla="*/ 9993 w 10000"/>
            <a:gd name="connsiteY4" fmla="*/ 0 h 10000"/>
            <a:gd name="connsiteX5" fmla="*/ 9995 w 10000"/>
            <a:gd name="connsiteY5" fmla="*/ 9983 h 10000"/>
            <a:gd name="connsiteX0" fmla="*/ 3 w 10000"/>
            <a:gd name="connsiteY0" fmla="*/ 10000 h 10000"/>
            <a:gd name="connsiteX1" fmla="*/ 0 w 10000"/>
            <a:gd name="connsiteY1" fmla="*/ 6518 h 10000"/>
            <a:gd name="connsiteX2" fmla="*/ 2008 w 10000"/>
            <a:gd name="connsiteY2" fmla="*/ 3057 h 10000"/>
            <a:gd name="connsiteX3" fmla="*/ 6009 w 10000"/>
            <a:gd name="connsiteY3" fmla="*/ 1 h 10000"/>
            <a:gd name="connsiteX4" fmla="*/ 9993 w 10000"/>
            <a:gd name="connsiteY4" fmla="*/ 0 h 10000"/>
            <a:gd name="connsiteX5" fmla="*/ 9995 w 10000"/>
            <a:gd name="connsiteY5" fmla="*/ 9983 h 10000"/>
            <a:gd name="connsiteX0" fmla="*/ 3 w 10000"/>
            <a:gd name="connsiteY0" fmla="*/ 10000 h 10000"/>
            <a:gd name="connsiteX1" fmla="*/ 0 w 10000"/>
            <a:gd name="connsiteY1" fmla="*/ 6518 h 10000"/>
            <a:gd name="connsiteX2" fmla="*/ 2008 w 10000"/>
            <a:gd name="connsiteY2" fmla="*/ 3057 h 10000"/>
            <a:gd name="connsiteX3" fmla="*/ 6068 w 10000"/>
            <a:gd name="connsiteY3" fmla="*/ 1 h 10000"/>
            <a:gd name="connsiteX4" fmla="*/ 9993 w 10000"/>
            <a:gd name="connsiteY4" fmla="*/ 0 h 10000"/>
            <a:gd name="connsiteX5" fmla="*/ 9995 w 10000"/>
            <a:gd name="connsiteY5" fmla="*/ 9983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00" h="10000">
              <a:moveTo>
                <a:pt x="3" y="10000"/>
              </a:moveTo>
              <a:cubicBezTo>
                <a:pt x="-4" y="8836"/>
                <a:pt x="7" y="7682"/>
                <a:pt x="0" y="6518"/>
              </a:cubicBezTo>
              <a:lnTo>
                <a:pt x="2008" y="3057"/>
              </a:lnTo>
              <a:lnTo>
                <a:pt x="6068" y="1"/>
              </a:lnTo>
              <a:lnTo>
                <a:pt x="9993" y="0"/>
              </a:lnTo>
              <a:cubicBezTo>
                <a:pt x="10019" y="3443"/>
                <a:pt x="9969" y="6541"/>
                <a:pt x="9995" y="9983"/>
              </a:cubicBezTo>
            </a:path>
          </a:pathLst>
        </a:custGeom>
        <a:noFill/>
        <a:ln w="19050" cmpd="sng">
          <a:solidFill>
            <a:srgbClr val="333333"/>
          </a:solidFill>
          <a:round/>
          <a:headEnd/>
          <a:tailEnd/>
        </a:ln>
      </xdr:spPr>
    </xdr:sp>
    <xdr:clientData/>
  </xdr:twoCellAnchor>
</xdr:wsDr>
</file>

<file path=xl/drawings/drawing14.xml><?xml version="1.0" encoding="utf-8"?>
<c:userShapes xmlns:c="http://schemas.openxmlformats.org/drawingml/2006/chart">
  <cdr:relSizeAnchor xmlns:cdr="http://schemas.openxmlformats.org/drawingml/2006/chartDrawing">
    <cdr:from>
      <cdr:x>0.48992</cdr:x>
      <cdr:y>0.15318</cdr:y>
    </cdr:from>
    <cdr:to>
      <cdr:x>0.89551</cdr:x>
      <cdr:y>0.25677</cdr:y>
    </cdr:to>
    <cdr:sp macro="" textlink="">
      <cdr:nvSpPr>
        <cdr:cNvPr id="2" name="Freeform 1"/>
        <cdr:cNvSpPr/>
      </cdr:nvSpPr>
      <cdr:spPr bwMode="auto">
        <a:xfrm xmlns:a="http://schemas.openxmlformats.org/drawingml/2006/main">
          <a:off x="2499994" y="738555"/>
          <a:ext cx="2069711" cy="499486"/>
        </a:xfrm>
        <a:custGeom xmlns:a="http://schemas.openxmlformats.org/drawingml/2006/main">
          <a:avLst/>
          <a:gdLst>
            <a:gd name="connsiteX0" fmla="*/ 381000 w 1805940"/>
            <a:gd name="connsiteY0" fmla="*/ 0 h 495300"/>
            <a:gd name="connsiteX1" fmla="*/ 1798320 w 1805940"/>
            <a:gd name="connsiteY1" fmla="*/ 15240 h 495300"/>
            <a:gd name="connsiteX2" fmla="*/ 1805940 w 1805940"/>
            <a:gd name="connsiteY2" fmla="*/ 495300 h 495300"/>
            <a:gd name="connsiteX3" fmla="*/ 0 w 1805940"/>
            <a:gd name="connsiteY3" fmla="*/ 487680 h 495300"/>
            <a:gd name="connsiteX4" fmla="*/ 381000 w 1805940"/>
            <a:gd name="connsiteY4" fmla="*/ 0 h 495300"/>
            <a:gd name="connsiteX0" fmla="*/ 381000 w 1882140"/>
            <a:gd name="connsiteY0" fmla="*/ 0 h 495300"/>
            <a:gd name="connsiteX1" fmla="*/ 1882140 w 1882140"/>
            <a:gd name="connsiteY1" fmla="*/ 76200 h 495300"/>
            <a:gd name="connsiteX2" fmla="*/ 1805940 w 1882140"/>
            <a:gd name="connsiteY2" fmla="*/ 495300 h 495300"/>
            <a:gd name="connsiteX3" fmla="*/ 0 w 1882140"/>
            <a:gd name="connsiteY3" fmla="*/ 487680 h 495300"/>
            <a:gd name="connsiteX4" fmla="*/ 381000 w 1882140"/>
            <a:gd name="connsiteY4" fmla="*/ 0 h 495300"/>
            <a:gd name="connsiteX0" fmla="*/ 381000 w 1882140"/>
            <a:gd name="connsiteY0" fmla="*/ 0 h 533400"/>
            <a:gd name="connsiteX1" fmla="*/ 1882140 w 1882140"/>
            <a:gd name="connsiteY1" fmla="*/ 76200 h 533400"/>
            <a:gd name="connsiteX2" fmla="*/ 1874520 w 1882140"/>
            <a:gd name="connsiteY2" fmla="*/ 533400 h 533400"/>
            <a:gd name="connsiteX3" fmla="*/ 0 w 1882140"/>
            <a:gd name="connsiteY3" fmla="*/ 487680 h 533400"/>
            <a:gd name="connsiteX4" fmla="*/ 381000 w 1882140"/>
            <a:gd name="connsiteY4" fmla="*/ 0 h 53340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289560 w 1790700"/>
            <a:gd name="connsiteY0" fmla="*/ 0 h 541020"/>
            <a:gd name="connsiteX1" fmla="*/ 429260 w 1790700"/>
            <a:gd name="connsiteY1" fmla="*/ 40640 h 541020"/>
            <a:gd name="connsiteX2" fmla="*/ 1790700 w 1790700"/>
            <a:gd name="connsiteY2" fmla="*/ 76200 h 541020"/>
            <a:gd name="connsiteX3" fmla="*/ 1783080 w 1790700"/>
            <a:gd name="connsiteY3" fmla="*/ 533400 h 541020"/>
            <a:gd name="connsiteX4" fmla="*/ 0 w 1790700"/>
            <a:gd name="connsiteY4" fmla="*/ 541020 h 541020"/>
            <a:gd name="connsiteX5" fmla="*/ 289560 w 1790700"/>
            <a:gd name="connsiteY5" fmla="*/ 0 h 541020"/>
            <a:gd name="connsiteX0" fmla="*/ 289560 w 1790700"/>
            <a:gd name="connsiteY0" fmla="*/ 34560 h 575580"/>
            <a:gd name="connsiteX1" fmla="*/ 1790700 w 1790700"/>
            <a:gd name="connsiteY1" fmla="*/ 110760 h 575580"/>
            <a:gd name="connsiteX2" fmla="*/ 1783080 w 1790700"/>
            <a:gd name="connsiteY2" fmla="*/ 567960 h 575580"/>
            <a:gd name="connsiteX3" fmla="*/ 0 w 1790700"/>
            <a:gd name="connsiteY3" fmla="*/ 575580 h 575580"/>
            <a:gd name="connsiteX4" fmla="*/ 289560 w 1790700"/>
            <a:gd name="connsiteY4" fmla="*/ 34560 h 57558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365760 w 1790700"/>
            <a:gd name="connsiteY0" fmla="*/ 0 h 495300"/>
            <a:gd name="connsiteX1" fmla="*/ 1790700 w 1790700"/>
            <a:gd name="connsiteY1" fmla="*/ 30480 h 495300"/>
            <a:gd name="connsiteX2" fmla="*/ 1783080 w 1790700"/>
            <a:gd name="connsiteY2" fmla="*/ 487680 h 495300"/>
            <a:gd name="connsiteX3" fmla="*/ 0 w 1790700"/>
            <a:gd name="connsiteY3" fmla="*/ 495300 h 495300"/>
            <a:gd name="connsiteX4" fmla="*/ 365760 w 1790700"/>
            <a:gd name="connsiteY4" fmla="*/ 0 h 495300"/>
            <a:gd name="connsiteX0" fmla="*/ 521964 w 1790700"/>
            <a:gd name="connsiteY0" fmla="*/ 0 h 502920"/>
            <a:gd name="connsiteX1" fmla="*/ 1790700 w 1790700"/>
            <a:gd name="connsiteY1" fmla="*/ 38100 h 502920"/>
            <a:gd name="connsiteX2" fmla="*/ 1783080 w 1790700"/>
            <a:gd name="connsiteY2" fmla="*/ 495300 h 502920"/>
            <a:gd name="connsiteX3" fmla="*/ 0 w 1790700"/>
            <a:gd name="connsiteY3" fmla="*/ 502920 h 502920"/>
            <a:gd name="connsiteX4" fmla="*/ 521964 w 1790700"/>
            <a:gd name="connsiteY4" fmla="*/ 0 h 502920"/>
            <a:gd name="connsiteX0" fmla="*/ 521964 w 1783080"/>
            <a:gd name="connsiteY0" fmla="*/ 2 h 502922"/>
            <a:gd name="connsiteX1" fmla="*/ 1763534 w 1783080"/>
            <a:gd name="connsiteY1" fmla="*/ 0 h 502922"/>
            <a:gd name="connsiteX2" fmla="*/ 1783080 w 1783080"/>
            <a:gd name="connsiteY2" fmla="*/ 495302 h 502922"/>
            <a:gd name="connsiteX3" fmla="*/ 0 w 1783080"/>
            <a:gd name="connsiteY3" fmla="*/ 502922 h 502922"/>
            <a:gd name="connsiteX4" fmla="*/ 521964 w 1783080"/>
            <a:gd name="connsiteY4" fmla="*/ 2 h 502922"/>
            <a:gd name="connsiteX0" fmla="*/ 583087 w 1844203"/>
            <a:gd name="connsiteY0" fmla="*/ 2 h 495302"/>
            <a:gd name="connsiteX1" fmla="*/ 1824657 w 1844203"/>
            <a:gd name="connsiteY1" fmla="*/ 0 h 495302"/>
            <a:gd name="connsiteX2" fmla="*/ 1844203 w 1844203"/>
            <a:gd name="connsiteY2" fmla="*/ 495302 h 495302"/>
            <a:gd name="connsiteX3" fmla="*/ 0 w 1844203"/>
            <a:gd name="connsiteY3" fmla="*/ 495302 h 495302"/>
            <a:gd name="connsiteX4" fmla="*/ 583087 w 1844203"/>
            <a:gd name="connsiteY4" fmla="*/ 2 h 495302"/>
            <a:gd name="connsiteX0" fmla="*/ 563871 w 1844203"/>
            <a:gd name="connsiteY0" fmla="*/ 0 h 500099"/>
            <a:gd name="connsiteX1" fmla="*/ 1824657 w 1844203"/>
            <a:gd name="connsiteY1" fmla="*/ 4797 h 500099"/>
            <a:gd name="connsiteX2" fmla="*/ 1844203 w 1844203"/>
            <a:gd name="connsiteY2" fmla="*/ 500099 h 500099"/>
            <a:gd name="connsiteX3" fmla="*/ 0 w 1844203"/>
            <a:gd name="connsiteY3" fmla="*/ 500099 h 500099"/>
            <a:gd name="connsiteX4" fmla="*/ 563871 w 1844203"/>
            <a:gd name="connsiteY4" fmla="*/ 0 h 50009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44203" h="500099">
              <a:moveTo>
                <a:pt x="563871" y="0"/>
              </a:moveTo>
              <a:lnTo>
                <a:pt x="1824657" y="4797"/>
              </a:lnTo>
              <a:lnTo>
                <a:pt x="1844203" y="500099"/>
              </a:lnTo>
              <a:lnTo>
                <a:pt x="0" y="500099"/>
              </a:lnTo>
              <a:lnTo>
                <a:pt x="563871" y="0"/>
              </a:lnTo>
              <a:close/>
            </a:path>
          </a:pathLst>
        </a:custGeom>
        <a:solidFill xmlns:a="http://schemas.openxmlformats.org/drawingml/2006/main">
          <a:srgbClr val="A6A6A6">
            <a:alpha val="25000"/>
          </a:srgb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100"/>
        </a:p>
      </cdr:txBody>
    </cdr:sp>
  </cdr:relSizeAnchor>
</c:userShapes>
</file>

<file path=xl/drawings/drawing15.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572330</xdr:colOff>
      <xdr:row>25</xdr:row>
      <xdr:rowOff>129196</xdr:rowOff>
    </xdr:from>
    <xdr:to>
      <xdr:col>12</xdr:col>
      <xdr:colOff>2013721</xdr:colOff>
      <xdr:row>47</xdr:row>
      <xdr:rowOff>121893</xdr:rowOff>
    </xdr:to>
    <xdr:sp macro="" textlink="">
      <xdr:nvSpPr>
        <xdr:cNvPr id="3" name="Freeform 2">
          <a:extLst>
            <a:ext uri="{FF2B5EF4-FFF2-40B4-BE49-F238E27FC236}">
              <a16:creationId xmlns:a16="http://schemas.microsoft.com/office/drawing/2014/main" id="{00000000-0008-0000-0D00-000003000000}"/>
            </a:ext>
          </a:extLst>
        </xdr:cNvPr>
        <xdr:cNvSpPr>
          <a:spLocks/>
        </xdr:cNvSpPr>
      </xdr:nvSpPr>
      <xdr:spPr bwMode="auto">
        <a:xfrm>
          <a:off x="4428897" y="4781629"/>
          <a:ext cx="3672357" cy="3840797"/>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0 w 10000"/>
            <a:gd name="connsiteY0" fmla="*/ 9974 h 10000"/>
            <a:gd name="connsiteX1" fmla="*/ 0 w 10000"/>
            <a:gd name="connsiteY1" fmla="*/ 5692 h 10000"/>
            <a:gd name="connsiteX2" fmla="*/ 6044 w 10000"/>
            <a:gd name="connsiteY2" fmla="*/ 332 h 10000"/>
            <a:gd name="connsiteX3" fmla="*/ 9921 w 10000"/>
            <a:gd name="connsiteY3" fmla="*/ 0 h 10000"/>
            <a:gd name="connsiteX4" fmla="*/ 10000 w 10000"/>
            <a:gd name="connsiteY4" fmla="*/ 10000 h 10000"/>
            <a:gd name="connsiteX0" fmla="*/ 0 w 10000"/>
            <a:gd name="connsiteY0" fmla="*/ 9642 h 9668"/>
            <a:gd name="connsiteX1" fmla="*/ 0 w 10000"/>
            <a:gd name="connsiteY1" fmla="*/ 5360 h 9668"/>
            <a:gd name="connsiteX2" fmla="*/ 6044 w 10000"/>
            <a:gd name="connsiteY2" fmla="*/ 0 h 9668"/>
            <a:gd name="connsiteX3" fmla="*/ 9921 w 10000"/>
            <a:gd name="connsiteY3" fmla="*/ 31 h 9668"/>
            <a:gd name="connsiteX4" fmla="*/ 10000 w 10000"/>
            <a:gd name="connsiteY4" fmla="*/ 9668 h 9668"/>
            <a:gd name="connsiteX0" fmla="*/ 0 w 10000"/>
            <a:gd name="connsiteY0" fmla="*/ 9973 h 10000"/>
            <a:gd name="connsiteX1" fmla="*/ 0 w 10000"/>
            <a:gd name="connsiteY1" fmla="*/ 7087 h 10000"/>
            <a:gd name="connsiteX2" fmla="*/ 6044 w 10000"/>
            <a:gd name="connsiteY2" fmla="*/ 0 h 10000"/>
            <a:gd name="connsiteX3" fmla="*/ 9921 w 10000"/>
            <a:gd name="connsiteY3" fmla="*/ 32 h 10000"/>
            <a:gd name="connsiteX4" fmla="*/ 10000 w 10000"/>
            <a:gd name="connsiteY4" fmla="*/ 10000 h 10000"/>
            <a:gd name="connsiteX0" fmla="*/ 0 w 10000"/>
            <a:gd name="connsiteY0" fmla="*/ 9973 h 10000"/>
            <a:gd name="connsiteX1" fmla="*/ 0 w 10000"/>
            <a:gd name="connsiteY1" fmla="*/ 7087 h 10000"/>
            <a:gd name="connsiteX2" fmla="*/ 3251 w 10000"/>
            <a:gd name="connsiteY2" fmla="*/ 3310 h 10000"/>
            <a:gd name="connsiteX3" fmla="*/ 6044 w 10000"/>
            <a:gd name="connsiteY3" fmla="*/ 0 h 10000"/>
            <a:gd name="connsiteX4" fmla="*/ 9921 w 10000"/>
            <a:gd name="connsiteY4" fmla="*/ 32 h 10000"/>
            <a:gd name="connsiteX5" fmla="*/ 10000 w 10000"/>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47 w 10021"/>
            <a:gd name="connsiteY2" fmla="*/ 2895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06 w 10021"/>
            <a:gd name="connsiteY2" fmla="*/ 3033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81 h 10008"/>
            <a:gd name="connsiteX1" fmla="*/ 0 w 10021"/>
            <a:gd name="connsiteY1" fmla="*/ 6482 h 10008"/>
            <a:gd name="connsiteX2" fmla="*/ 1906 w 10021"/>
            <a:gd name="connsiteY2" fmla="*/ 3041 h 10008"/>
            <a:gd name="connsiteX3" fmla="*/ 6065 w 10021"/>
            <a:gd name="connsiteY3" fmla="*/ 8 h 10008"/>
            <a:gd name="connsiteX4" fmla="*/ 9942 w 10021"/>
            <a:gd name="connsiteY4" fmla="*/ 0 h 10008"/>
            <a:gd name="connsiteX5" fmla="*/ 10021 w 10021"/>
            <a:gd name="connsiteY5" fmla="*/ 10008 h 10008"/>
            <a:gd name="connsiteX0" fmla="*/ 21 w 9946"/>
            <a:gd name="connsiteY0" fmla="*/ 9981 h 9981"/>
            <a:gd name="connsiteX1" fmla="*/ 0 w 9946"/>
            <a:gd name="connsiteY1" fmla="*/ 6482 h 9981"/>
            <a:gd name="connsiteX2" fmla="*/ 1906 w 9946"/>
            <a:gd name="connsiteY2" fmla="*/ 3041 h 9981"/>
            <a:gd name="connsiteX3" fmla="*/ 6065 w 9946"/>
            <a:gd name="connsiteY3" fmla="*/ 8 h 9981"/>
            <a:gd name="connsiteX4" fmla="*/ 9942 w 9946"/>
            <a:gd name="connsiteY4" fmla="*/ 0 h 9981"/>
            <a:gd name="connsiteX5" fmla="*/ 9894 w 9946"/>
            <a:gd name="connsiteY5" fmla="*/ 9953 h 9981"/>
            <a:gd name="connsiteX0" fmla="*/ 21 w 9967"/>
            <a:gd name="connsiteY0" fmla="*/ 10000 h 10000"/>
            <a:gd name="connsiteX1" fmla="*/ 0 w 9967"/>
            <a:gd name="connsiteY1" fmla="*/ 6494 h 10000"/>
            <a:gd name="connsiteX2" fmla="*/ 1916 w 9967"/>
            <a:gd name="connsiteY2" fmla="*/ 3047 h 10000"/>
            <a:gd name="connsiteX3" fmla="*/ 6098 w 9967"/>
            <a:gd name="connsiteY3" fmla="*/ 8 h 10000"/>
            <a:gd name="connsiteX4" fmla="*/ 9961 w 9967"/>
            <a:gd name="connsiteY4" fmla="*/ 0 h 10000"/>
            <a:gd name="connsiteX5" fmla="*/ 9948 w 9967"/>
            <a:gd name="connsiteY5" fmla="*/ 9972 h 10000"/>
            <a:gd name="connsiteX0" fmla="*/ 21 w 10000"/>
            <a:gd name="connsiteY0" fmla="*/ 10025 h 10025"/>
            <a:gd name="connsiteX1" fmla="*/ 0 w 10000"/>
            <a:gd name="connsiteY1" fmla="*/ 6519 h 10025"/>
            <a:gd name="connsiteX2" fmla="*/ 1922 w 10000"/>
            <a:gd name="connsiteY2" fmla="*/ 3072 h 10025"/>
            <a:gd name="connsiteX3" fmla="*/ 6130 w 10000"/>
            <a:gd name="connsiteY3" fmla="*/ 0 h 10025"/>
            <a:gd name="connsiteX4" fmla="*/ 9994 w 10000"/>
            <a:gd name="connsiteY4" fmla="*/ 25 h 10025"/>
            <a:gd name="connsiteX5" fmla="*/ 9981 w 10000"/>
            <a:gd name="connsiteY5" fmla="*/ 9997 h 10025"/>
            <a:gd name="connsiteX0" fmla="*/ 21 w 10000"/>
            <a:gd name="connsiteY0" fmla="*/ 10025 h 10025"/>
            <a:gd name="connsiteX1" fmla="*/ 0 w 10000"/>
            <a:gd name="connsiteY1" fmla="*/ 6519 h 10025"/>
            <a:gd name="connsiteX2" fmla="*/ 1899 w 10000"/>
            <a:gd name="connsiteY2" fmla="*/ 3072 h 10025"/>
            <a:gd name="connsiteX3" fmla="*/ 6130 w 10000"/>
            <a:gd name="connsiteY3" fmla="*/ 0 h 10025"/>
            <a:gd name="connsiteX4" fmla="*/ 9994 w 10000"/>
            <a:gd name="connsiteY4" fmla="*/ 25 h 10025"/>
            <a:gd name="connsiteX5" fmla="*/ 9981 w 10000"/>
            <a:gd name="connsiteY5" fmla="*/ 9997 h 10025"/>
            <a:gd name="connsiteX0" fmla="*/ 102 w 10081"/>
            <a:gd name="connsiteY0" fmla="*/ 10025 h 10025"/>
            <a:gd name="connsiteX1" fmla="*/ 0 w 10081"/>
            <a:gd name="connsiteY1" fmla="*/ 6541 h 10025"/>
            <a:gd name="connsiteX2" fmla="*/ 1980 w 10081"/>
            <a:gd name="connsiteY2" fmla="*/ 3072 h 10025"/>
            <a:gd name="connsiteX3" fmla="*/ 6211 w 10081"/>
            <a:gd name="connsiteY3" fmla="*/ 0 h 10025"/>
            <a:gd name="connsiteX4" fmla="*/ 10075 w 10081"/>
            <a:gd name="connsiteY4" fmla="*/ 25 h 10025"/>
            <a:gd name="connsiteX5" fmla="*/ 10062 w 10081"/>
            <a:gd name="connsiteY5" fmla="*/ 9997 h 10025"/>
            <a:gd name="connsiteX0" fmla="*/ 32 w 10081"/>
            <a:gd name="connsiteY0" fmla="*/ 10047 h 10047"/>
            <a:gd name="connsiteX1" fmla="*/ 0 w 10081"/>
            <a:gd name="connsiteY1" fmla="*/ 6541 h 10047"/>
            <a:gd name="connsiteX2" fmla="*/ 1980 w 10081"/>
            <a:gd name="connsiteY2" fmla="*/ 3072 h 10047"/>
            <a:gd name="connsiteX3" fmla="*/ 6211 w 10081"/>
            <a:gd name="connsiteY3" fmla="*/ 0 h 10047"/>
            <a:gd name="connsiteX4" fmla="*/ 10075 w 10081"/>
            <a:gd name="connsiteY4" fmla="*/ 25 h 10047"/>
            <a:gd name="connsiteX5" fmla="*/ 10062 w 10081"/>
            <a:gd name="connsiteY5" fmla="*/ 9997 h 10047"/>
            <a:gd name="connsiteX0" fmla="*/ 32 w 10070"/>
            <a:gd name="connsiteY0" fmla="*/ 10047 h 10047"/>
            <a:gd name="connsiteX1" fmla="*/ 0 w 10070"/>
            <a:gd name="connsiteY1" fmla="*/ 6541 h 10047"/>
            <a:gd name="connsiteX2" fmla="*/ 1980 w 10070"/>
            <a:gd name="connsiteY2" fmla="*/ 3072 h 10047"/>
            <a:gd name="connsiteX3" fmla="*/ 6211 w 10070"/>
            <a:gd name="connsiteY3" fmla="*/ 0 h 10047"/>
            <a:gd name="connsiteX4" fmla="*/ 10063 w 10070"/>
            <a:gd name="connsiteY4" fmla="*/ 14 h 10047"/>
            <a:gd name="connsiteX5" fmla="*/ 10062 w 10070"/>
            <a:gd name="connsiteY5" fmla="*/ 9997 h 100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70" h="10047">
              <a:moveTo>
                <a:pt x="32" y="10047"/>
              </a:moveTo>
              <a:cubicBezTo>
                <a:pt x="25" y="8879"/>
                <a:pt x="7" y="7710"/>
                <a:pt x="0" y="6541"/>
              </a:cubicBezTo>
              <a:lnTo>
                <a:pt x="1980" y="3072"/>
              </a:lnTo>
              <a:lnTo>
                <a:pt x="6211" y="0"/>
              </a:lnTo>
              <a:lnTo>
                <a:pt x="10063" y="14"/>
              </a:lnTo>
              <a:cubicBezTo>
                <a:pt x="10089" y="3469"/>
                <a:pt x="10036" y="6543"/>
                <a:pt x="10062" y="9997"/>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27</xdr:row>
      <xdr:rowOff>60960</xdr:rowOff>
    </xdr:to>
    <xdr:sp macro="" textlink="">
      <xdr:nvSpPr>
        <xdr:cNvPr id="4" name="Text Box 3">
          <a:extLst>
            <a:ext uri="{FF2B5EF4-FFF2-40B4-BE49-F238E27FC236}">
              <a16:creationId xmlns:a16="http://schemas.microsoft.com/office/drawing/2014/main" id="{00000000-0008-0000-0D00-000004000000}"/>
            </a:ext>
          </a:extLst>
        </xdr:cNvPr>
        <xdr:cNvSpPr txBox="1">
          <a:spLocks noChangeArrowheads="1"/>
        </xdr:cNvSpPr>
      </xdr:nvSpPr>
      <xdr:spPr bwMode="auto">
        <a:xfrm>
          <a:off x="4200525" y="4440555"/>
          <a:ext cx="1150620" cy="53530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C182T (230 HP)</a:t>
          </a:r>
        </a:p>
        <a:p>
          <a:pPr algn="ctr" rtl="0">
            <a:defRPr sz="1000"/>
          </a:pPr>
          <a:r>
            <a:rPr lang="en-US" sz="800" b="0" i="1" u="none" strike="noStrike" baseline="0">
              <a:solidFill>
                <a:srgbClr val="FF0000"/>
              </a:solidFill>
              <a:latin typeface="Arial"/>
              <a:cs typeface="Arial"/>
            </a:rPr>
            <a:t>Dashed red line is LANDING weight limit.</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0D00-000005000000}"/>
            </a:ext>
          </a:extLst>
        </xdr:cNvPr>
        <xdr:cNvGrpSpPr>
          <a:grpSpLocks/>
        </xdr:cNvGrpSpPr>
      </xdr:nvGrpSpPr>
      <xdr:grpSpPr bwMode="auto">
        <a:xfrm>
          <a:off x="1028700" y="990600"/>
          <a:ext cx="1152525" cy="1476375"/>
          <a:chOff x="108" y="43"/>
          <a:chExt cx="121" cy="163"/>
        </a:xfrm>
      </xdr:grpSpPr>
      <xdr:sp macro="" textlink="">
        <xdr:nvSpPr>
          <xdr:cNvPr id="6" name="Freeform 10">
            <a:extLst>
              <a:ext uri="{FF2B5EF4-FFF2-40B4-BE49-F238E27FC236}">
                <a16:creationId xmlns:a16="http://schemas.microsoft.com/office/drawing/2014/main" id="{00000000-0008-0000-0D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0D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0D00-000008000000}"/>
            </a:ext>
          </a:extLst>
        </xdr:cNvPr>
        <xdr:cNvSpPr txBox="1">
          <a:spLocks noChangeArrowheads="1"/>
        </xdr:cNvSpPr>
      </xdr:nvSpPr>
      <xdr:spPr bwMode="auto">
        <a:xfrm>
          <a:off x="3507105" y="547306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0D00-000009000000}"/>
            </a:ext>
          </a:extLst>
        </xdr:cNvPr>
        <xdr:cNvSpPr txBox="1">
          <a:spLocks noChangeArrowheads="1"/>
        </xdr:cNvSpPr>
      </xdr:nvSpPr>
      <xdr:spPr bwMode="auto">
        <a:xfrm>
          <a:off x="5808345" y="3968115"/>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04785" y="27051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0D00-00000B000000}"/>
            </a:ext>
          </a:extLst>
        </xdr:cNvPr>
        <xdr:cNvSpPr>
          <a:spLocks/>
        </xdr:cNvSpPr>
      </xdr:nvSpPr>
      <xdr:spPr bwMode="auto">
        <a:xfrm>
          <a:off x="17461230" y="144970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0D00-00000C000000}"/>
            </a:ext>
          </a:extLst>
        </xdr:cNvPr>
        <xdr:cNvSpPr>
          <a:spLocks/>
        </xdr:cNvSpPr>
      </xdr:nvSpPr>
      <xdr:spPr bwMode="auto">
        <a:xfrm>
          <a:off x="20585430" y="1506855"/>
          <a:ext cx="116776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6476 w 1247775"/>
            <a:gd name="connsiteY2" fmla="*/ 256982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42487 w 1247775"/>
            <a:gd name="connsiteY2" fmla="*/ 207143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42487" y="207143"/>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12</xdr:col>
      <xdr:colOff>38100</xdr:colOff>
      <xdr:row>28</xdr:row>
      <xdr:rowOff>22858</xdr:rowOff>
    </xdr:from>
    <xdr:to>
      <xdr:col>12</xdr:col>
      <xdr:colOff>2057400</xdr:colOff>
      <xdr:row>28</xdr:row>
      <xdr:rowOff>83819</xdr:rowOff>
    </xdr:to>
    <xdr:sp macro="" textlink="">
      <xdr:nvSpPr>
        <xdr:cNvPr id="13" name="Freeform 12">
          <a:extLst>
            <a:ext uri="{FF2B5EF4-FFF2-40B4-BE49-F238E27FC236}">
              <a16:creationId xmlns:a16="http://schemas.microsoft.com/office/drawing/2014/main" id="{00000000-0008-0000-0D00-00000D000000}"/>
            </a:ext>
          </a:extLst>
        </xdr:cNvPr>
        <xdr:cNvSpPr/>
      </xdr:nvSpPr>
      <xdr:spPr bwMode="auto">
        <a:xfrm flipV="1">
          <a:off x="6118860" y="5113018"/>
          <a:ext cx="2019300" cy="60961"/>
        </a:xfrm>
        <a:custGeom>
          <a:avLst/>
          <a:gdLst>
            <a:gd name="connsiteX0" fmla="*/ 0 w 1813560"/>
            <a:gd name="connsiteY0" fmla="*/ 0 h 0"/>
            <a:gd name="connsiteX1" fmla="*/ 1813560 w 1813560"/>
            <a:gd name="connsiteY1" fmla="*/ 0 h 0"/>
          </a:gdLst>
          <a:ahLst/>
          <a:cxnLst>
            <a:cxn ang="0">
              <a:pos x="connsiteX0" y="connsiteY0"/>
            </a:cxn>
            <a:cxn ang="0">
              <a:pos x="connsiteX1" y="connsiteY1"/>
            </a:cxn>
          </a:cxnLst>
          <a:rect l="l" t="t" r="r" b="b"/>
          <a:pathLst>
            <a:path w="1813560">
              <a:moveTo>
                <a:pt x="0" y="0"/>
              </a:moveTo>
              <a:lnTo>
                <a:pt x="1813560" y="0"/>
              </a:lnTo>
            </a:path>
          </a:pathLst>
        </a:custGeom>
        <a:noFill/>
        <a:ln w="19050" cap="flat" cmpd="sng" algn="ctr">
          <a:solidFill>
            <a:srgbClr val="FF0000"/>
          </a:solidFill>
          <a:prstDash val="dash"/>
          <a:round/>
          <a:headEnd type="none" w="med" len="med"/>
          <a:tailEnd type="none" w="med" len="med"/>
        </a:ln>
        <a:effectLst/>
      </xdr:spPr>
      <xdr:txBody>
        <a:bodyPr vertOverflow="clip" horzOverflow="clip" wrap="square" lIns="18288" tIns="0" rIns="0" bIns="0" rtlCol="0" anchor="t" upright="1">
          <a:spAutoFit/>
        </a:bodyPr>
        <a:lstStyle/>
        <a:p>
          <a:pPr algn="l"/>
          <a:endParaRPr lang="en-US" sz="1100"/>
        </a:p>
      </xdr:txBody>
    </xdr:sp>
    <xdr:clientData/>
  </xdr:twoCellAnchor>
  <xdr:twoCellAnchor>
    <xdr:from>
      <xdr:col>26</xdr:col>
      <xdr:colOff>38100</xdr:colOff>
      <xdr:row>9</xdr:row>
      <xdr:rowOff>91440</xdr:rowOff>
    </xdr:from>
    <xdr:to>
      <xdr:col>26</xdr:col>
      <xdr:colOff>167640</xdr:colOff>
      <xdr:row>9</xdr:row>
      <xdr:rowOff>114300</xdr:rowOff>
    </xdr:to>
    <xdr:sp macro="" textlink="">
      <xdr:nvSpPr>
        <xdr:cNvPr id="14" name="Freeform 13">
          <a:extLst>
            <a:ext uri="{FF2B5EF4-FFF2-40B4-BE49-F238E27FC236}">
              <a16:creationId xmlns:a16="http://schemas.microsoft.com/office/drawing/2014/main" id="{00000000-0008-0000-0D00-00000E000000}"/>
            </a:ext>
          </a:extLst>
        </xdr:cNvPr>
        <xdr:cNvSpPr/>
      </xdr:nvSpPr>
      <xdr:spPr bwMode="auto">
        <a:xfrm>
          <a:off x="17442180" y="172212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30480</xdr:colOff>
      <xdr:row>9</xdr:row>
      <xdr:rowOff>106680</xdr:rowOff>
    </xdr:from>
    <xdr:to>
      <xdr:col>31</xdr:col>
      <xdr:colOff>160020</xdr:colOff>
      <xdr:row>9</xdr:row>
      <xdr:rowOff>129540</xdr:rowOff>
    </xdr:to>
    <xdr:sp macro="" textlink="">
      <xdr:nvSpPr>
        <xdr:cNvPr id="15" name="Freeform 14">
          <a:extLst>
            <a:ext uri="{FF2B5EF4-FFF2-40B4-BE49-F238E27FC236}">
              <a16:creationId xmlns:a16="http://schemas.microsoft.com/office/drawing/2014/main" id="{00000000-0008-0000-0D00-00000F000000}"/>
            </a:ext>
          </a:extLst>
        </xdr:cNvPr>
        <xdr:cNvSpPr/>
      </xdr:nvSpPr>
      <xdr:spPr bwMode="auto">
        <a:xfrm>
          <a:off x="20558760" y="173736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64770</xdr:colOff>
      <xdr:row>32</xdr:row>
      <xdr:rowOff>9525</xdr:rowOff>
    </xdr:from>
    <xdr:to>
      <xdr:col>27</xdr:col>
      <xdr:colOff>560070</xdr:colOff>
      <xdr:row>40</xdr:row>
      <xdr:rowOff>32385</xdr:rowOff>
    </xdr:to>
    <xdr:sp macro="" textlink="">
      <xdr:nvSpPr>
        <xdr:cNvPr id="16" name="Freeform 26">
          <a:extLst>
            <a:ext uri="{FF2B5EF4-FFF2-40B4-BE49-F238E27FC236}">
              <a16:creationId xmlns:a16="http://schemas.microsoft.com/office/drawing/2014/main" id="{00000000-0008-0000-0D00-000010000000}"/>
            </a:ext>
          </a:extLst>
        </xdr:cNvPr>
        <xdr:cNvSpPr>
          <a:spLocks/>
        </xdr:cNvSpPr>
      </xdr:nvSpPr>
      <xdr:spPr bwMode="auto">
        <a:xfrm>
          <a:off x="17468850" y="583120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26670</xdr:colOff>
      <xdr:row>32</xdr:row>
      <xdr:rowOff>40005</xdr:rowOff>
    </xdr:from>
    <xdr:to>
      <xdr:col>32</xdr:col>
      <xdr:colOff>521970</xdr:colOff>
      <xdr:row>40</xdr:row>
      <xdr:rowOff>62865</xdr:rowOff>
    </xdr:to>
    <xdr:sp macro="" textlink="">
      <xdr:nvSpPr>
        <xdr:cNvPr id="17" name="Freeform 26">
          <a:extLst>
            <a:ext uri="{FF2B5EF4-FFF2-40B4-BE49-F238E27FC236}">
              <a16:creationId xmlns:a16="http://schemas.microsoft.com/office/drawing/2014/main" id="{00000000-0008-0000-0D00-000011000000}"/>
            </a:ext>
          </a:extLst>
        </xdr:cNvPr>
        <xdr:cNvSpPr>
          <a:spLocks/>
        </xdr:cNvSpPr>
      </xdr:nvSpPr>
      <xdr:spPr bwMode="auto">
        <a:xfrm>
          <a:off x="20554950" y="586168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38100</xdr:colOff>
      <xdr:row>33</xdr:row>
      <xdr:rowOff>121920</xdr:rowOff>
    </xdr:from>
    <xdr:to>
      <xdr:col>26</xdr:col>
      <xdr:colOff>167640</xdr:colOff>
      <xdr:row>33</xdr:row>
      <xdr:rowOff>144780</xdr:rowOff>
    </xdr:to>
    <xdr:sp macro="" textlink="">
      <xdr:nvSpPr>
        <xdr:cNvPr id="18" name="Freeform 17">
          <a:extLst>
            <a:ext uri="{FF2B5EF4-FFF2-40B4-BE49-F238E27FC236}">
              <a16:creationId xmlns:a16="http://schemas.microsoft.com/office/drawing/2014/main" id="{00000000-0008-0000-0D00-000012000000}"/>
            </a:ext>
          </a:extLst>
        </xdr:cNvPr>
        <xdr:cNvSpPr/>
      </xdr:nvSpPr>
      <xdr:spPr bwMode="auto">
        <a:xfrm>
          <a:off x="17442180" y="611124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38100</xdr:colOff>
      <xdr:row>59</xdr:row>
      <xdr:rowOff>38100</xdr:rowOff>
    </xdr:from>
    <xdr:to>
      <xdr:col>26</xdr:col>
      <xdr:colOff>167640</xdr:colOff>
      <xdr:row>59</xdr:row>
      <xdr:rowOff>60960</xdr:rowOff>
    </xdr:to>
    <xdr:sp macro="" textlink="">
      <xdr:nvSpPr>
        <xdr:cNvPr id="19" name="Freeform 18">
          <a:extLst>
            <a:ext uri="{FF2B5EF4-FFF2-40B4-BE49-F238E27FC236}">
              <a16:creationId xmlns:a16="http://schemas.microsoft.com/office/drawing/2014/main" id="{00000000-0008-0000-0D00-000013000000}"/>
            </a:ext>
          </a:extLst>
        </xdr:cNvPr>
        <xdr:cNvSpPr/>
      </xdr:nvSpPr>
      <xdr:spPr bwMode="auto">
        <a:xfrm>
          <a:off x="17442180" y="1050036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0</xdr:colOff>
      <xdr:row>33</xdr:row>
      <xdr:rowOff>114300</xdr:rowOff>
    </xdr:from>
    <xdr:to>
      <xdr:col>31</xdr:col>
      <xdr:colOff>129540</xdr:colOff>
      <xdr:row>33</xdr:row>
      <xdr:rowOff>137160</xdr:rowOff>
    </xdr:to>
    <xdr:sp macro="" textlink="">
      <xdr:nvSpPr>
        <xdr:cNvPr id="20" name="Freeform 19">
          <a:extLst>
            <a:ext uri="{FF2B5EF4-FFF2-40B4-BE49-F238E27FC236}">
              <a16:creationId xmlns:a16="http://schemas.microsoft.com/office/drawing/2014/main" id="{00000000-0008-0000-0D00-000014000000}"/>
            </a:ext>
          </a:extLst>
        </xdr:cNvPr>
        <xdr:cNvSpPr/>
      </xdr:nvSpPr>
      <xdr:spPr bwMode="auto">
        <a:xfrm>
          <a:off x="20528280" y="610362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oneCellAnchor>
    <xdr:from>
      <xdr:col>1</xdr:col>
      <xdr:colOff>0</xdr:colOff>
      <xdr:row>13</xdr:row>
      <xdr:rowOff>0</xdr:rowOff>
    </xdr:from>
    <xdr:ext cx="370486" cy="180819"/>
    <xdr:sp macro="" textlink="">
      <xdr:nvSpPr>
        <xdr:cNvPr id="22" name="TextBox 21">
          <a:extLst>
            <a:ext uri="{FF2B5EF4-FFF2-40B4-BE49-F238E27FC236}">
              <a16:creationId xmlns:a16="http://schemas.microsoft.com/office/drawing/2014/main" id="{00000000-0008-0000-0D00-000016000000}"/>
            </a:ext>
          </a:extLst>
        </xdr:cNvPr>
        <xdr:cNvSpPr txBox="1"/>
      </xdr:nvSpPr>
      <xdr:spPr>
        <a:xfrm>
          <a:off x="91440" y="2392680"/>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12</xdr:col>
      <xdr:colOff>68580</xdr:colOff>
      <xdr:row>25</xdr:row>
      <xdr:rowOff>152400</xdr:rowOff>
    </xdr:from>
    <xdr:to>
      <xdr:col>12</xdr:col>
      <xdr:colOff>2026920</xdr:colOff>
      <xdr:row>28</xdr:row>
      <xdr:rowOff>76200</xdr:rowOff>
    </xdr:to>
    <xdr:sp macro="" textlink="">
      <xdr:nvSpPr>
        <xdr:cNvPr id="24" name="Freeform 23">
          <a:extLst>
            <a:ext uri="{FF2B5EF4-FFF2-40B4-BE49-F238E27FC236}">
              <a16:creationId xmlns:a16="http://schemas.microsoft.com/office/drawing/2014/main" id="{00000000-0008-0000-0D00-000018000000}"/>
            </a:ext>
          </a:extLst>
        </xdr:cNvPr>
        <xdr:cNvSpPr/>
      </xdr:nvSpPr>
      <xdr:spPr bwMode="auto">
        <a:xfrm>
          <a:off x="6149340" y="4808220"/>
          <a:ext cx="1958340" cy="434340"/>
        </a:xfrm>
        <a:custGeom>
          <a:avLst/>
          <a:gdLst>
            <a:gd name="connsiteX0" fmla="*/ 381000 w 1805940"/>
            <a:gd name="connsiteY0" fmla="*/ 0 h 495300"/>
            <a:gd name="connsiteX1" fmla="*/ 1798320 w 1805940"/>
            <a:gd name="connsiteY1" fmla="*/ 15240 h 495300"/>
            <a:gd name="connsiteX2" fmla="*/ 1805940 w 1805940"/>
            <a:gd name="connsiteY2" fmla="*/ 495300 h 495300"/>
            <a:gd name="connsiteX3" fmla="*/ 0 w 1805940"/>
            <a:gd name="connsiteY3" fmla="*/ 487680 h 495300"/>
            <a:gd name="connsiteX4" fmla="*/ 381000 w 1805940"/>
            <a:gd name="connsiteY4" fmla="*/ 0 h 495300"/>
            <a:gd name="connsiteX0" fmla="*/ 381000 w 1882140"/>
            <a:gd name="connsiteY0" fmla="*/ 0 h 495300"/>
            <a:gd name="connsiteX1" fmla="*/ 1882140 w 1882140"/>
            <a:gd name="connsiteY1" fmla="*/ 76200 h 495300"/>
            <a:gd name="connsiteX2" fmla="*/ 1805940 w 1882140"/>
            <a:gd name="connsiteY2" fmla="*/ 495300 h 495300"/>
            <a:gd name="connsiteX3" fmla="*/ 0 w 1882140"/>
            <a:gd name="connsiteY3" fmla="*/ 487680 h 495300"/>
            <a:gd name="connsiteX4" fmla="*/ 381000 w 1882140"/>
            <a:gd name="connsiteY4" fmla="*/ 0 h 495300"/>
            <a:gd name="connsiteX0" fmla="*/ 381000 w 1882140"/>
            <a:gd name="connsiteY0" fmla="*/ 0 h 533400"/>
            <a:gd name="connsiteX1" fmla="*/ 1882140 w 1882140"/>
            <a:gd name="connsiteY1" fmla="*/ 76200 h 533400"/>
            <a:gd name="connsiteX2" fmla="*/ 1874520 w 1882140"/>
            <a:gd name="connsiteY2" fmla="*/ 533400 h 533400"/>
            <a:gd name="connsiteX3" fmla="*/ 0 w 1882140"/>
            <a:gd name="connsiteY3" fmla="*/ 487680 h 533400"/>
            <a:gd name="connsiteX4" fmla="*/ 381000 w 1882140"/>
            <a:gd name="connsiteY4" fmla="*/ 0 h 53340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289560 w 1790700"/>
            <a:gd name="connsiteY0" fmla="*/ 0 h 541020"/>
            <a:gd name="connsiteX1" fmla="*/ 429260 w 1790700"/>
            <a:gd name="connsiteY1" fmla="*/ 40640 h 541020"/>
            <a:gd name="connsiteX2" fmla="*/ 1790700 w 1790700"/>
            <a:gd name="connsiteY2" fmla="*/ 76200 h 541020"/>
            <a:gd name="connsiteX3" fmla="*/ 1783080 w 1790700"/>
            <a:gd name="connsiteY3" fmla="*/ 533400 h 541020"/>
            <a:gd name="connsiteX4" fmla="*/ 0 w 1790700"/>
            <a:gd name="connsiteY4" fmla="*/ 541020 h 541020"/>
            <a:gd name="connsiteX5" fmla="*/ 289560 w 1790700"/>
            <a:gd name="connsiteY5" fmla="*/ 0 h 541020"/>
            <a:gd name="connsiteX0" fmla="*/ 289560 w 1790700"/>
            <a:gd name="connsiteY0" fmla="*/ 34560 h 575580"/>
            <a:gd name="connsiteX1" fmla="*/ 1790700 w 1790700"/>
            <a:gd name="connsiteY1" fmla="*/ 110760 h 575580"/>
            <a:gd name="connsiteX2" fmla="*/ 1783080 w 1790700"/>
            <a:gd name="connsiteY2" fmla="*/ 567960 h 575580"/>
            <a:gd name="connsiteX3" fmla="*/ 0 w 1790700"/>
            <a:gd name="connsiteY3" fmla="*/ 575580 h 575580"/>
            <a:gd name="connsiteX4" fmla="*/ 289560 w 1790700"/>
            <a:gd name="connsiteY4" fmla="*/ 34560 h 57558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365760 w 1790700"/>
            <a:gd name="connsiteY0" fmla="*/ 0 h 495300"/>
            <a:gd name="connsiteX1" fmla="*/ 1790700 w 1790700"/>
            <a:gd name="connsiteY1" fmla="*/ 30480 h 495300"/>
            <a:gd name="connsiteX2" fmla="*/ 1783080 w 1790700"/>
            <a:gd name="connsiteY2" fmla="*/ 487680 h 495300"/>
            <a:gd name="connsiteX3" fmla="*/ 0 w 1790700"/>
            <a:gd name="connsiteY3" fmla="*/ 495300 h 495300"/>
            <a:gd name="connsiteX4" fmla="*/ 365760 w 1790700"/>
            <a:gd name="connsiteY4" fmla="*/ 0 h 495300"/>
            <a:gd name="connsiteX0" fmla="*/ 365760 w 1965960"/>
            <a:gd name="connsiteY0" fmla="*/ 0 h 495300"/>
            <a:gd name="connsiteX1" fmla="*/ 1965960 w 1965960"/>
            <a:gd name="connsiteY1" fmla="*/ 0 h 495300"/>
            <a:gd name="connsiteX2" fmla="*/ 1783080 w 1965960"/>
            <a:gd name="connsiteY2" fmla="*/ 487680 h 495300"/>
            <a:gd name="connsiteX3" fmla="*/ 0 w 1965960"/>
            <a:gd name="connsiteY3" fmla="*/ 495300 h 495300"/>
            <a:gd name="connsiteX4" fmla="*/ 365760 w 1965960"/>
            <a:gd name="connsiteY4" fmla="*/ 0 h 495300"/>
            <a:gd name="connsiteX0" fmla="*/ 556260 w 1965960"/>
            <a:gd name="connsiteY0" fmla="*/ 0 h 502920"/>
            <a:gd name="connsiteX1" fmla="*/ 1965960 w 1965960"/>
            <a:gd name="connsiteY1" fmla="*/ 7620 h 502920"/>
            <a:gd name="connsiteX2" fmla="*/ 1783080 w 1965960"/>
            <a:gd name="connsiteY2" fmla="*/ 495300 h 502920"/>
            <a:gd name="connsiteX3" fmla="*/ 0 w 1965960"/>
            <a:gd name="connsiteY3" fmla="*/ 502920 h 502920"/>
            <a:gd name="connsiteX4" fmla="*/ 556260 w 1965960"/>
            <a:gd name="connsiteY4" fmla="*/ 0 h 502920"/>
            <a:gd name="connsiteX0" fmla="*/ 533400 w 1943100"/>
            <a:gd name="connsiteY0" fmla="*/ 0 h 495300"/>
            <a:gd name="connsiteX1" fmla="*/ 1943100 w 1943100"/>
            <a:gd name="connsiteY1" fmla="*/ 7620 h 495300"/>
            <a:gd name="connsiteX2" fmla="*/ 1760220 w 1943100"/>
            <a:gd name="connsiteY2" fmla="*/ 495300 h 495300"/>
            <a:gd name="connsiteX3" fmla="*/ 0 w 1943100"/>
            <a:gd name="connsiteY3" fmla="*/ 426720 h 495300"/>
            <a:gd name="connsiteX4" fmla="*/ 533400 w 1943100"/>
            <a:gd name="connsiteY4" fmla="*/ 0 h 495300"/>
            <a:gd name="connsiteX0" fmla="*/ 533400 w 1958340"/>
            <a:gd name="connsiteY0" fmla="*/ 0 h 434340"/>
            <a:gd name="connsiteX1" fmla="*/ 1943100 w 1958340"/>
            <a:gd name="connsiteY1" fmla="*/ 7620 h 434340"/>
            <a:gd name="connsiteX2" fmla="*/ 1958340 w 1958340"/>
            <a:gd name="connsiteY2" fmla="*/ 434340 h 434340"/>
            <a:gd name="connsiteX3" fmla="*/ 0 w 1958340"/>
            <a:gd name="connsiteY3" fmla="*/ 426720 h 434340"/>
            <a:gd name="connsiteX4" fmla="*/ 533400 w 1958340"/>
            <a:gd name="connsiteY4" fmla="*/ 0 h 4343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58340" h="434340">
              <a:moveTo>
                <a:pt x="533400" y="0"/>
              </a:moveTo>
              <a:lnTo>
                <a:pt x="1943100" y="7620"/>
              </a:lnTo>
              <a:lnTo>
                <a:pt x="1958340" y="434340"/>
              </a:lnTo>
              <a:lnTo>
                <a:pt x="0" y="426720"/>
              </a:lnTo>
              <a:lnTo>
                <a:pt x="533400" y="0"/>
              </a:lnTo>
              <a:close/>
            </a:path>
          </a:pathLst>
        </a:custGeom>
        <a:solidFill>
          <a:srgbClr val="A6A6A6">
            <a:alpha val="25000"/>
          </a:srgbClr>
        </a:solidFill>
        <a:ln w="9525" cap="flat" cmpd="sng" algn="ctr">
          <a:noFill/>
          <a:prstDash val="solid"/>
          <a:round/>
          <a:headEnd type="none" w="med" len="med"/>
          <a:tailEnd type="none" w="med" len="med"/>
        </a:ln>
        <a:effectLst/>
      </xdr:spPr>
      <xdr:txBody>
        <a:bodyPr rot="0" spcFirstLastPara="0" vert="horz" wrap="square" lIns="18288" tIns="0" rIns="0" bIns="0" numCol="1" spcCol="0" rtlCol="0" fromWordArt="0" anchor="t" anchorCtr="0" forceAA="0" upright="1"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lang="en-US" sz="1100"/>
        </a:p>
      </xdr:txBody>
    </xdr:sp>
    <xdr:clientData/>
  </xdr:twoCellAnchor>
  <xdr:twoCellAnchor>
    <xdr:from>
      <xdr:col>15</xdr:col>
      <xdr:colOff>83820</xdr:colOff>
      <xdr:row>2</xdr:row>
      <xdr:rowOff>144780</xdr:rowOff>
    </xdr:from>
    <xdr:to>
      <xdr:col>15</xdr:col>
      <xdr:colOff>352419</xdr:colOff>
      <xdr:row>4</xdr:row>
      <xdr:rowOff>64887</xdr:rowOff>
    </xdr:to>
    <xdr:sp macro="" textlink="">
      <xdr:nvSpPr>
        <xdr:cNvPr id="25" name="Freeform 24">
          <a:extLst>
            <a:ext uri="{FF2B5EF4-FFF2-40B4-BE49-F238E27FC236}">
              <a16:creationId xmlns:a16="http://schemas.microsoft.com/office/drawing/2014/main" id="{00000000-0008-0000-0D00-000019000000}"/>
            </a:ext>
          </a:extLst>
        </xdr:cNvPr>
        <xdr:cNvSpPr/>
      </xdr:nvSpPr>
      <xdr:spPr bwMode="auto">
        <a:xfrm>
          <a:off x="9342120" y="624840"/>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572330</xdr:colOff>
      <xdr:row>25</xdr:row>
      <xdr:rowOff>129196</xdr:rowOff>
    </xdr:from>
    <xdr:to>
      <xdr:col>12</xdr:col>
      <xdr:colOff>2013721</xdr:colOff>
      <xdr:row>47</xdr:row>
      <xdr:rowOff>121893</xdr:rowOff>
    </xdr:to>
    <xdr:sp macro="" textlink="">
      <xdr:nvSpPr>
        <xdr:cNvPr id="3" name="Freeform 2">
          <a:extLst>
            <a:ext uri="{FF2B5EF4-FFF2-40B4-BE49-F238E27FC236}">
              <a16:creationId xmlns:a16="http://schemas.microsoft.com/office/drawing/2014/main" id="{00000000-0008-0000-0E00-000003000000}"/>
            </a:ext>
          </a:extLst>
        </xdr:cNvPr>
        <xdr:cNvSpPr>
          <a:spLocks/>
        </xdr:cNvSpPr>
      </xdr:nvSpPr>
      <xdr:spPr bwMode="auto">
        <a:xfrm>
          <a:off x="4315655" y="4777396"/>
          <a:ext cx="3603566" cy="3812222"/>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0 w 10000"/>
            <a:gd name="connsiteY0" fmla="*/ 9974 h 10000"/>
            <a:gd name="connsiteX1" fmla="*/ 0 w 10000"/>
            <a:gd name="connsiteY1" fmla="*/ 5692 h 10000"/>
            <a:gd name="connsiteX2" fmla="*/ 6044 w 10000"/>
            <a:gd name="connsiteY2" fmla="*/ 332 h 10000"/>
            <a:gd name="connsiteX3" fmla="*/ 9921 w 10000"/>
            <a:gd name="connsiteY3" fmla="*/ 0 h 10000"/>
            <a:gd name="connsiteX4" fmla="*/ 10000 w 10000"/>
            <a:gd name="connsiteY4" fmla="*/ 10000 h 10000"/>
            <a:gd name="connsiteX0" fmla="*/ 0 w 10000"/>
            <a:gd name="connsiteY0" fmla="*/ 9642 h 9668"/>
            <a:gd name="connsiteX1" fmla="*/ 0 w 10000"/>
            <a:gd name="connsiteY1" fmla="*/ 5360 h 9668"/>
            <a:gd name="connsiteX2" fmla="*/ 6044 w 10000"/>
            <a:gd name="connsiteY2" fmla="*/ 0 h 9668"/>
            <a:gd name="connsiteX3" fmla="*/ 9921 w 10000"/>
            <a:gd name="connsiteY3" fmla="*/ 31 h 9668"/>
            <a:gd name="connsiteX4" fmla="*/ 10000 w 10000"/>
            <a:gd name="connsiteY4" fmla="*/ 9668 h 9668"/>
            <a:gd name="connsiteX0" fmla="*/ 0 w 10000"/>
            <a:gd name="connsiteY0" fmla="*/ 9973 h 10000"/>
            <a:gd name="connsiteX1" fmla="*/ 0 w 10000"/>
            <a:gd name="connsiteY1" fmla="*/ 7087 h 10000"/>
            <a:gd name="connsiteX2" fmla="*/ 6044 w 10000"/>
            <a:gd name="connsiteY2" fmla="*/ 0 h 10000"/>
            <a:gd name="connsiteX3" fmla="*/ 9921 w 10000"/>
            <a:gd name="connsiteY3" fmla="*/ 32 h 10000"/>
            <a:gd name="connsiteX4" fmla="*/ 10000 w 10000"/>
            <a:gd name="connsiteY4" fmla="*/ 10000 h 10000"/>
            <a:gd name="connsiteX0" fmla="*/ 0 w 10000"/>
            <a:gd name="connsiteY0" fmla="*/ 9973 h 10000"/>
            <a:gd name="connsiteX1" fmla="*/ 0 w 10000"/>
            <a:gd name="connsiteY1" fmla="*/ 7087 h 10000"/>
            <a:gd name="connsiteX2" fmla="*/ 3251 w 10000"/>
            <a:gd name="connsiteY2" fmla="*/ 3310 h 10000"/>
            <a:gd name="connsiteX3" fmla="*/ 6044 w 10000"/>
            <a:gd name="connsiteY3" fmla="*/ 0 h 10000"/>
            <a:gd name="connsiteX4" fmla="*/ 9921 w 10000"/>
            <a:gd name="connsiteY4" fmla="*/ 32 h 10000"/>
            <a:gd name="connsiteX5" fmla="*/ 10000 w 10000"/>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47 w 10021"/>
            <a:gd name="connsiteY2" fmla="*/ 2895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06 w 10021"/>
            <a:gd name="connsiteY2" fmla="*/ 3033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81 h 10008"/>
            <a:gd name="connsiteX1" fmla="*/ 0 w 10021"/>
            <a:gd name="connsiteY1" fmla="*/ 6482 h 10008"/>
            <a:gd name="connsiteX2" fmla="*/ 1906 w 10021"/>
            <a:gd name="connsiteY2" fmla="*/ 3041 h 10008"/>
            <a:gd name="connsiteX3" fmla="*/ 6065 w 10021"/>
            <a:gd name="connsiteY3" fmla="*/ 8 h 10008"/>
            <a:gd name="connsiteX4" fmla="*/ 9942 w 10021"/>
            <a:gd name="connsiteY4" fmla="*/ 0 h 10008"/>
            <a:gd name="connsiteX5" fmla="*/ 10021 w 10021"/>
            <a:gd name="connsiteY5" fmla="*/ 10008 h 10008"/>
            <a:gd name="connsiteX0" fmla="*/ 21 w 9946"/>
            <a:gd name="connsiteY0" fmla="*/ 9981 h 9981"/>
            <a:gd name="connsiteX1" fmla="*/ 0 w 9946"/>
            <a:gd name="connsiteY1" fmla="*/ 6482 h 9981"/>
            <a:gd name="connsiteX2" fmla="*/ 1906 w 9946"/>
            <a:gd name="connsiteY2" fmla="*/ 3041 h 9981"/>
            <a:gd name="connsiteX3" fmla="*/ 6065 w 9946"/>
            <a:gd name="connsiteY3" fmla="*/ 8 h 9981"/>
            <a:gd name="connsiteX4" fmla="*/ 9942 w 9946"/>
            <a:gd name="connsiteY4" fmla="*/ 0 h 9981"/>
            <a:gd name="connsiteX5" fmla="*/ 9894 w 9946"/>
            <a:gd name="connsiteY5" fmla="*/ 9953 h 9981"/>
            <a:gd name="connsiteX0" fmla="*/ 21 w 9967"/>
            <a:gd name="connsiteY0" fmla="*/ 10000 h 10000"/>
            <a:gd name="connsiteX1" fmla="*/ 0 w 9967"/>
            <a:gd name="connsiteY1" fmla="*/ 6494 h 10000"/>
            <a:gd name="connsiteX2" fmla="*/ 1916 w 9967"/>
            <a:gd name="connsiteY2" fmla="*/ 3047 h 10000"/>
            <a:gd name="connsiteX3" fmla="*/ 6098 w 9967"/>
            <a:gd name="connsiteY3" fmla="*/ 8 h 10000"/>
            <a:gd name="connsiteX4" fmla="*/ 9961 w 9967"/>
            <a:gd name="connsiteY4" fmla="*/ 0 h 10000"/>
            <a:gd name="connsiteX5" fmla="*/ 9948 w 9967"/>
            <a:gd name="connsiteY5" fmla="*/ 9972 h 10000"/>
            <a:gd name="connsiteX0" fmla="*/ 21 w 10000"/>
            <a:gd name="connsiteY0" fmla="*/ 10025 h 10025"/>
            <a:gd name="connsiteX1" fmla="*/ 0 w 10000"/>
            <a:gd name="connsiteY1" fmla="*/ 6519 h 10025"/>
            <a:gd name="connsiteX2" fmla="*/ 1922 w 10000"/>
            <a:gd name="connsiteY2" fmla="*/ 3072 h 10025"/>
            <a:gd name="connsiteX3" fmla="*/ 6130 w 10000"/>
            <a:gd name="connsiteY3" fmla="*/ 0 h 10025"/>
            <a:gd name="connsiteX4" fmla="*/ 9994 w 10000"/>
            <a:gd name="connsiteY4" fmla="*/ 25 h 10025"/>
            <a:gd name="connsiteX5" fmla="*/ 9981 w 10000"/>
            <a:gd name="connsiteY5" fmla="*/ 9997 h 10025"/>
            <a:gd name="connsiteX0" fmla="*/ 21 w 10000"/>
            <a:gd name="connsiteY0" fmla="*/ 10025 h 10025"/>
            <a:gd name="connsiteX1" fmla="*/ 0 w 10000"/>
            <a:gd name="connsiteY1" fmla="*/ 6519 h 10025"/>
            <a:gd name="connsiteX2" fmla="*/ 1899 w 10000"/>
            <a:gd name="connsiteY2" fmla="*/ 3072 h 10025"/>
            <a:gd name="connsiteX3" fmla="*/ 6130 w 10000"/>
            <a:gd name="connsiteY3" fmla="*/ 0 h 10025"/>
            <a:gd name="connsiteX4" fmla="*/ 9994 w 10000"/>
            <a:gd name="connsiteY4" fmla="*/ 25 h 10025"/>
            <a:gd name="connsiteX5" fmla="*/ 9981 w 10000"/>
            <a:gd name="connsiteY5" fmla="*/ 9997 h 10025"/>
            <a:gd name="connsiteX0" fmla="*/ 102 w 10081"/>
            <a:gd name="connsiteY0" fmla="*/ 10025 h 10025"/>
            <a:gd name="connsiteX1" fmla="*/ 0 w 10081"/>
            <a:gd name="connsiteY1" fmla="*/ 6541 h 10025"/>
            <a:gd name="connsiteX2" fmla="*/ 1980 w 10081"/>
            <a:gd name="connsiteY2" fmla="*/ 3072 h 10025"/>
            <a:gd name="connsiteX3" fmla="*/ 6211 w 10081"/>
            <a:gd name="connsiteY3" fmla="*/ 0 h 10025"/>
            <a:gd name="connsiteX4" fmla="*/ 10075 w 10081"/>
            <a:gd name="connsiteY4" fmla="*/ 25 h 10025"/>
            <a:gd name="connsiteX5" fmla="*/ 10062 w 10081"/>
            <a:gd name="connsiteY5" fmla="*/ 9997 h 10025"/>
            <a:gd name="connsiteX0" fmla="*/ 32 w 10081"/>
            <a:gd name="connsiteY0" fmla="*/ 10047 h 10047"/>
            <a:gd name="connsiteX1" fmla="*/ 0 w 10081"/>
            <a:gd name="connsiteY1" fmla="*/ 6541 h 10047"/>
            <a:gd name="connsiteX2" fmla="*/ 1980 w 10081"/>
            <a:gd name="connsiteY2" fmla="*/ 3072 h 10047"/>
            <a:gd name="connsiteX3" fmla="*/ 6211 w 10081"/>
            <a:gd name="connsiteY3" fmla="*/ 0 h 10047"/>
            <a:gd name="connsiteX4" fmla="*/ 10075 w 10081"/>
            <a:gd name="connsiteY4" fmla="*/ 25 h 10047"/>
            <a:gd name="connsiteX5" fmla="*/ 10062 w 10081"/>
            <a:gd name="connsiteY5" fmla="*/ 9997 h 10047"/>
            <a:gd name="connsiteX0" fmla="*/ 32 w 10070"/>
            <a:gd name="connsiteY0" fmla="*/ 10047 h 10047"/>
            <a:gd name="connsiteX1" fmla="*/ 0 w 10070"/>
            <a:gd name="connsiteY1" fmla="*/ 6541 h 10047"/>
            <a:gd name="connsiteX2" fmla="*/ 1980 w 10070"/>
            <a:gd name="connsiteY2" fmla="*/ 3072 h 10047"/>
            <a:gd name="connsiteX3" fmla="*/ 6211 w 10070"/>
            <a:gd name="connsiteY3" fmla="*/ 0 h 10047"/>
            <a:gd name="connsiteX4" fmla="*/ 10063 w 10070"/>
            <a:gd name="connsiteY4" fmla="*/ 14 h 10047"/>
            <a:gd name="connsiteX5" fmla="*/ 10062 w 10070"/>
            <a:gd name="connsiteY5" fmla="*/ 9997 h 100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70" h="10047">
              <a:moveTo>
                <a:pt x="32" y="10047"/>
              </a:moveTo>
              <a:cubicBezTo>
                <a:pt x="25" y="8879"/>
                <a:pt x="7" y="7710"/>
                <a:pt x="0" y="6541"/>
              </a:cubicBezTo>
              <a:lnTo>
                <a:pt x="1980" y="3072"/>
              </a:lnTo>
              <a:lnTo>
                <a:pt x="6211" y="0"/>
              </a:lnTo>
              <a:lnTo>
                <a:pt x="10063" y="14"/>
              </a:lnTo>
              <a:cubicBezTo>
                <a:pt x="10089" y="3469"/>
                <a:pt x="10036" y="6543"/>
                <a:pt x="10062" y="9997"/>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27</xdr:row>
      <xdr:rowOff>60960</xdr:rowOff>
    </xdr:to>
    <xdr:sp macro="" textlink="">
      <xdr:nvSpPr>
        <xdr:cNvPr id="4" name="Text Box 3">
          <a:extLst>
            <a:ext uri="{FF2B5EF4-FFF2-40B4-BE49-F238E27FC236}">
              <a16:creationId xmlns:a16="http://schemas.microsoft.com/office/drawing/2014/main" id="{00000000-0008-0000-0E00-000004000000}"/>
            </a:ext>
          </a:extLst>
        </xdr:cNvPr>
        <xdr:cNvSpPr txBox="1">
          <a:spLocks noChangeArrowheads="1"/>
        </xdr:cNvSpPr>
      </xdr:nvSpPr>
      <xdr:spPr bwMode="auto">
        <a:xfrm>
          <a:off x="4095750" y="4505325"/>
          <a:ext cx="1104900" cy="537210"/>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C182T (230 HP)</a:t>
          </a:r>
        </a:p>
        <a:p>
          <a:pPr algn="ctr" rtl="0">
            <a:defRPr sz="1000"/>
          </a:pPr>
          <a:r>
            <a:rPr lang="en-US" sz="800" b="0" i="1" u="none" strike="noStrike" baseline="0">
              <a:solidFill>
                <a:srgbClr val="FF0000"/>
              </a:solidFill>
              <a:latin typeface="Arial"/>
              <a:cs typeface="Arial"/>
            </a:rPr>
            <a:t>Dashed red line is LANDING weight limit.</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0E00-000005000000}"/>
            </a:ext>
          </a:extLst>
        </xdr:cNvPr>
        <xdr:cNvGrpSpPr>
          <a:grpSpLocks/>
        </xdr:cNvGrpSpPr>
      </xdr:nvGrpSpPr>
      <xdr:grpSpPr bwMode="auto">
        <a:xfrm>
          <a:off x="1028700" y="990600"/>
          <a:ext cx="1152525" cy="1476375"/>
          <a:chOff x="108" y="43"/>
          <a:chExt cx="121" cy="163"/>
        </a:xfrm>
      </xdr:grpSpPr>
      <xdr:sp macro="" textlink="">
        <xdr:nvSpPr>
          <xdr:cNvPr id="6" name="Freeform 10">
            <a:extLst>
              <a:ext uri="{FF2B5EF4-FFF2-40B4-BE49-F238E27FC236}">
                <a16:creationId xmlns:a16="http://schemas.microsoft.com/office/drawing/2014/main" id="{00000000-0008-0000-0E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0E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0E00-000008000000}"/>
            </a:ext>
          </a:extLst>
        </xdr:cNvPr>
        <xdr:cNvSpPr txBox="1">
          <a:spLocks noChangeArrowheads="1"/>
        </xdr:cNvSpPr>
      </xdr:nvSpPr>
      <xdr:spPr bwMode="auto">
        <a:xfrm>
          <a:off x="3438525" y="553402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0E00-000009000000}"/>
            </a:ext>
          </a:extLst>
        </xdr:cNvPr>
        <xdr:cNvSpPr txBox="1">
          <a:spLocks noChangeArrowheads="1"/>
        </xdr:cNvSpPr>
      </xdr:nvSpPr>
      <xdr:spPr bwMode="auto">
        <a:xfrm>
          <a:off x="5657850" y="4038600"/>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9525" y="34290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0E00-00000B000000}"/>
            </a:ext>
          </a:extLst>
        </xdr:cNvPr>
        <xdr:cNvSpPr>
          <a:spLocks/>
        </xdr:cNvSpPr>
      </xdr:nvSpPr>
      <xdr:spPr bwMode="auto">
        <a:xfrm>
          <a:off x="16954500" y="1524000"/>
          <a:ext cx="110490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0E00-00000C000000}"/>
            </a:ext>
          </a:extLst>
        </xdr:cNvPr>
        <xdr:cNvSpPr>
          <a:spLocks/>
        </xdr:cNvSpPr>
      </xdr:nvSpPr>
      <xdr:spPr bwMode="auto">
        <a:xfrm>
          <a:off x="20002500" y="1581150"/>
          <a:ext cx="115252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6476 w 1247775"/>
            <a:gd name="connsiteY2" fmla="*/ 256982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42487 w 1247775"/>
            <a:gd name="connsiteY2" fmla="*/ 207143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42487" y="207143"/>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12</xdr:col>
      <xdr:colOff>38100</xdr:colOff>
      <xdr:row>28</xdr:row>
      <xdr:rowOff>22858</xdr:rowOff>
    </xdr:from>
    <xdr:to>
      <xdr:col>12</xdr:col>
      <xdr:colOff>2057400</xdr:colOff>
      <xdr:row>28</xdr:row>
      <xdr:rowOff>83819</xdr:rowOff>
    </xdr:to>
    <xdr:sp macro="" textlink="">
      <xdr:nvSpPr>
        <xdr:cNvPr id="13" name="Freeform 12">
          <a:extLst>
            <a:ext uri="{FF2B5EF4-FFF2-40B4-BE49-F238E27FC236}">
              <a16:creationId xmlns:a16="http://schemas.microsoft.com/office/drawing/2014/main" id="{00000000-0008-0000-0E00-00000D000000}"/>
            </a:ext>
          </a:extLst>
        </xdr:cNvPr>
        <xdr:cNvSpPr/>
      </xdr:nvSpPr>
      <xdr:spPr bwMode="auto">
        <a:xfrm flipV="1">
          <a:off x="5943600" y="5175883"/>
          <a:ext cx="2019300" cy="60961"/>
        </a:xfrm>
        <a:custGeom>
          <a:avLst/>
          <a:gdLst>
            <a:gd name="connsiteX0" fmla="*/ 0 w 1813560"/>
            <a:gd name="connsiteY0" fmla="*/ 0 h 0"/>
            <a:gd name="connsiteX1" fmla="*/ 1813560 w 1813560"/>
            <a:gd name="connsiteY1" fmla="*/ 0 h 0"/>
          </a:gdLst>
          <a:ahLst/>
          <a:cxnLst>
            <a:cxn ang="0">
              <a:pos x="connsiteX0" y="connsiteY0"/>
            </a:cxn>
            <a:cxn ang="0">
              <a:pos x="connsiteX1" y="connsiteY1"/>
            </a:cxn>
          </a:cxnLst>
          <a:rect l="l" t="t" r="r" b="b"/>
          <a:pathLst>
            <a:path w="1813560">
              <a:moveTo>
                <a:pt x="0" y="0"/>
              </a:moveTo>
              <a:lnTo>
                <a:pt x="1813560" y="0"/>
              </a:lnTo>
            </a:path>
          </a:pathLst>
        </a:custGeom>
        <a:noFill/>
        <a:ln w="19050" cap="flat" cmpd="sng" algn="ctr">
          <a:solidFill>
            <a:srgbClr val="FF0000"/>
          </a:solidFill>
          <a:prstDash val="dash"/>
          <a:round/>
          <a:headEnd type="none" w="med" len="med"/>
          <a:tailEnd type="none" w="med" len="med"/>
        </a:ln>
        <a:effectLst/>
      </xdr:spPr>
      <xdr:txBody>
        <a:bodyPr vertOverflow="clip" horzOverflow="clip" wrap="square" lIns="18288" tIns="0" rIns="0" bIns="0" rtlCol="0" anchor="t" upright="1">
          <a:spAutoFit/>
        </a:bodyPr>
        <a:lstStyle/>
        <a:p>
          <a:pPr algn="l"/>
          <a:endParaRPr lang="en-US" sz="1100"/>
        </a:p>
      </xdr:txBody>
    </xdr:sp>
    <xdr:clientData/>
  </xdr:twoCellAnchor>
  <xdr:twoCellAnchor>
    <xdr:from>
      <xdr:col>26</xdr:col>
      <xdr:colOff>38100</xdr:colOff>
      <xdr:row>9</xdr:row>
      <xdr:rowOff>91440</xdr:rowOff>
    </xdr:from>
    <xdr:to>
      <xdr:col>26</xdr:col>
      <xdr:colOff>167640</xdr:colOff>
      <xdr:row>9</xdr:row>
      <xdr:rowOff>114300</xdr:rowOff>
    </xdr:to>
    <xdr:sp macro="" textlink="">
      <xdr:nvSpPr>
        <xdr:cNvPr id="14" name="Freeform 13">
          <a:extLst>
            <a:ext uri="{FF2B5EF4-FFF2-40B4-BE49-F238E27FC236}">
              <a16:creationId xmlns:a16="http://schemas.microsoft.com/office/drawing/2014/main" id="{00000000-0008-0000-0E00-00000E000000}"/>
            </a:ext>
          </a:extLst>
        </xdr:cNvPr>
        <xdr:cNvSpPr/>
      </xdr:nvSpPr>
      <xdr:spPr bwMode="auto">
        <a:xfrm>
          <a:off x="16935450" y="1796415"/>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30480</xdr:colOff>
      <xdr:row>9</xdr:row>
      <xdr:rowOff>106680</xdr:rowOff>
    </xdr:from>
    <xdr:to>
      <xdr:col>31</xdr:col>
      <xdr:colOff>160020</xdr:colOff>
      <xdr:row>9</xdr:row>
      <xdr:rowOff>129540</xdr:rowOff>
    </xdr:to>
    <xdr:sp macro="" textlink="">
      <xdr:nvSpPr>
        <xdr:cNvPr id="15" name="Freeform 14">
          <a:extLst>
            <a:ext uri="{FF2B5EF4-FFF2-40B4-BE49-F238E27FC236}">
              <a16:creationId xmlns:a16="http://schemas.microsoft.com/office/drawing/2014/main" id="{00000000-0008-0000-0E00-00000F000000}"/>
            </a:ext>
          </a:extLst>
        </xdr:cNvPr>
        <xdr:cNvSpPr/>
      </xdr:nvSpPr>
      <xdr:spPr bwMode="auto">
        <a:xfrm>
          <a:off x="19975830" y="1811655"/>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64770</xdr:colOff>
      <xdr:row>32</xdr:row>
      <xdr:rowOff>9525</xdr:rowOff>
    </xdr:from>
    <xdr:to>
      <xdr:col>27</xdr:col>
      <xdr:colOff>560070</xdr:colOff>
      <xdr:row>40</xdr:row>
      <xdr:rowOff>32385</xdr:rowOff>
    </xdr:to>
    <xdr:sp macro="" textlink="">
      <xdr:nvSpPr>
        <xdr:cNvPr id="16" name="Freeform 26">
          <a:extLst>
            <a:ext uri="{FF2B5EF4-FFF2-40B4-BE49-F238E27FC236}">
              <a16:creationId xmlns:a16="http://schemas.microsoft.com/office/drawing/2014/main" id="{00000000-0008-0000-0E00-000010000000}"/>
            </a:ext>
          </a:extLst>
        </xdr:cNvPr>
        <xdr:cNvSpPr>
          <a:spLocks/>
        </xdr:cNvSpPr>
      </xdr:nvSpPr>
      <xdr:spPr bwMode="auto">
        <a:xfrm>
          <a:off x="16962120" y="5905500"/>
          <a:ext cx="1104900" cy="137541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26670</xdr:colOff>
      <xdr:row>32</xdr:row>
      <xdr:rowOff>40005</xdr:rowOff>
    </xdr:from>
    <xdr:to>
      <xdr:col>32</xdr:col>
      <xdr:colOff>521970</xdr:colOff>
      <xdr:row>40</xdr:row>
      <xdr:rowOff>62865</xdr:rowOff>
    </xdr:to>
    <xdr:sp macro="" textlink="">
      <xdr:nvSpPr>
        <xdr:cNvPr id="17" name="Freeform 26">
          <a:extLst>
            <a:ext uri="{FF2B5EF4-FFF2-40B4-BE49-F238E27FC236}">
              <a16:creationId xmlns:a16="http://schemas.microsoft.com/office/drawing/2014/main" id="{00000000-0008-0000-0E00-000011000000}"/>
            </a:ext>
          </a:extLst>
        </xdr:cNvPr>
        <xdr:cNvSpPr>
          <a:spLocks/>
        </xdr:cNvSpPr>
      </xdr:nvSpPr>
      <xdr:spPr bwMode="auto">
        <a:xfrm>
          <a:off x="19972020" y="5935980"/>
          <a:ext cx="1104900" cy="137541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38100</xdr:colOff>
      <xdr:row>33</xdr:row>
      <xdr:rowOff>121920</xdr:rowOff>
    </xdr:from>
    <xdr:to>
      <xdr:col>26</xdr:col>
      <xdr:colOff>167640</xdr:colOff>
      <xdr:row>33</xdr:row>
      <xdr:rowOff>144780</xdr:rowOff>
    </xdr:to>
    <xdr:sp macro="" textlink="">
      <xdr:nvSpPr>
        <xdr:cNvPr id="18" name="Freeform 17">
          <a:extLst>
            <a:ext uri="{FF2B5EF4-FFF2-40B4-BE49-F238E27FC236}">
              <a16:creationId xmlns:a16="http://schemas.microsoft.com/office/drawing/2014/main" id="{00000000-0008-0000-0E00-000012000000}"/>
            </a:ext>
          </a:extLst>
        </xdr:cNvPr>
        <xdr:cNvSpPr/>
      </xdr:nvSpPr>
      <xdr:spPr bwMode="auto">
        <a:xfrm>
          <a:off x="16935450" y="617982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38100</xdr:colOff>
      <xdr:row>59</xdr:row>
      <xdr:rowOff>38100</xdr:rowOff>
    </xdr:from>
    <xdr:to>
      <xdr:col>26</xdr:col>
      <xdr:colOff>167640</xdr:colOff>
      <xdr:row>59</xdr:row>
      <xdr:rowOff>60960</xdr:rowOff>
    </xdr:to>
    <xdr:sp macro="" textlink="">
      <xdr:nvSpPr>
        <xdr:cNvPr id="19" name="Freeform 18">
          <a:extLst>
            <a:ext uri="{FF2B5EF4-FFF2-40B4-BE49-F238E27FC236}">
              <a16:creationId xmlns:a16="http://schemas.microsoft.com/office/drawing/2014/main" id="{00000000-0008-0000-0E00-000013000000}"/>
            </a:ext>
          </a:extLst>
        </xdr:cNvPr>
        <xdr:cNvSpPr/>
      </xdr:nvSpPr>
      <xdr:spPr bwMode="auto">
        <a:xfrm>
          <a:off x="16935450" y="10487025"/>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0</xdr:colOff>
      <xdr:row>33</xdr:row>
      <xdr:rowOff>114300</xdr:rowOff>
    </xdr:from>
    <xdr:to>
      <xdr:col>31</xdr:col>
      <xdr:colOff>129540</xdr:colOff>
      <xdr:row>33</xdr:row>
      <xdr:rowOff>137160</xdr:rowOff>
    </xdr:to>
    <xdr:sp macro="" textlink="">
      <xdr:nvSpPr>
        <xdr:cNvPr id="20" name="Freeform 19">
          <a:extLst>
            <a:ext uri="{FF2B5EF4-FFF2-40B4-BE49-F238E27FC236}">
              <a16:creationId xmlns:a16="http://schemas.microsoft.com/office/drawing/2014/main" id="{00000000-0008-0000-0E00-000014000000}"/>
            </a:ext>
          </a:extLst>
        </xdr:cNvPr>
        <xdr:cNvSpPr/>
      </xdr:nvSpPr>
      <xdr:spPr bwMode="auto">
        <a:xfrm>
          <a:off x="19945350" y="617220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oneCellAnchor>
    <xdr:from>
      <xdr:col>1</xdr:col>
      <xdr:colOff>0</xdr:colOff>
      <xdr:row>13</xdr:row>
      <xdr:rowOff>0</xdr:rowOff>
    </xdr:from>
    <xdr:ext cx="370486" cy="180819"/>
    <xdr:sp macro="" textlink="">
      <xdr:nvSpPr>
        <xdr:cNvPr id="21" name="TextBox 20">
          <a:extLst>
            <a:ext uri="{FF2B5EF4-FFF2-40B4-BE49-F238E27FC236}">
              <a16:creationId xmlns:a16="http://schemas.microsoft.com/office/drawing/2014/main" id="{00000000-0008-0000-0E00-000015000000}"/>
            </a:ext>
          </a:extLst>
        </xdr:cNvPr>
        <xdr:cNvSpPr txBox="1"/>
      </xdr:nvSpPr>
      <xdr:spPr>
        <a:xfrm>
          <a:off x="85725" y="2466975"/>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12</xdr:col>
      <xdr:colOff>68580</xdr:colOff>
      <xdr:row>25</xdr:row>
      <xdr:rowOff>152400</xdr:rowOff>
    </xdr:from>
    <xdr:to>
      <xdr:col>12</xdr:col>
      <xdr:colOff>2026920</xdr:colOff>
      <xdr:row>28</xdr:row>
      <xdr:rowOff>76200</xdr:rowOff>
    </xdr:to>
    <xdr:sp macro="" textlink="">
      <xdr:nvSpPr>
        <xdr:cNvPr id="22" name="Freeform 23">
          <a:extLst>
            <a:ext uri="{FF2B5EF4-FFF2-40B4-BE49-F238E27FC236}">
              <a16:creationId xmlns:a16="http://schemas.microsoft.com/office/drawing/2014/main" id="{00000000-0008-0000-0E00-000016000000}"/>
            </a:ext>
          </a:extLst>
        </xdr:cNvPr>
        <xdr:cNvSpPr/>
      </xdr:nvSpPr>
      <xdr:spPr bwMode="auto">
        <a:xfrm>
          <a:off x="5974080" y="4800600"/>
          <a:ext cx="1958340" cy="428625"/>
        </a:xfrm>
        <a:custGeom>
          <a:avLst/>
          <a:gdLst>
            <a:gd name="connsiteX0" fmla="*/ 381000 w 1805940"/>
            <a:gd name="connsiteY0" fmla="*/ 0 h 495300"/>
            <a:gd name="connsiteX1" fmla="*/ 1798320 w 1805940"/>
            <a:gd name="connsiteY1" fmla="*/ 15240 h 495300"/>
            <a:gd name="connsiteX2" fmla="*/ 1805940 w 1805940"/>
            <a:gd name="connsiteY2" fmla="*/ 495300 h 495300"/>
            <a:gd name="connsiteX3" fmla="*/ 0 w 1805940"/>
            <a:gd name="connsiteY3" fmla="*/ 487680 h 495300"/>
            <a:gd name="connsiteX4" fmla="*/ 381000 w 1805940"/>
            <a:gd name="connsiteY4" fmla="*/ 0 h 495300"/>
            <a:gd name="connsiteX0" fmla="*/ 381000 w 1882140"/>
            <a:gd name="connsiteY0" fmla="*/ 0 h 495300"/>
            <a:gd name="connsiteX1" fmla="*/ 1882140 w 1882140"/>
            <a:gd name="connsiteY1" fmla="*/ 76200 h 495300"/>
            <a:gd name="connsiteX2" fmla="*/ 1805940 w 1882140"/>
            <a:gd name="connsiteY2" fmla="*/ 495300 h 495300"/>
            <a:gd name="connsiteX3" fmla="*/ 0 w 1882140"/>
            <a:gd name="connsiteY3" fmla="*/ 487680 h 495300"/>
            <a:gd name="connsiteX4" fmla="*/ 381000 w 1882140"/>
            <a:gd name="connsiteY4" fmla="*/ 0 h 495300"/>
            <a:gd name="connsiteX0" fmla="*/ 381000 w 1882140"/>
            <a:gd name="connsiteY0" fmla="*/ 0 h 533400"/>
            <a:gd name="connsiteX1" fmla="*/ 1882140 w 1882140"/>
            <a:gd name="connsiteY1" fmla="*/ 76200 h 533400"/>
            <a:gd name="connsiteX2" fmla="*/ 1874520 w 1882140"/>
            <a:gd name="connsiteY2" fmla="*/ 533400 h 533400"/>
            <a:gd name="connsiteX3" fmla="*/ 0 w 1882140"/>
            <a:gd name="connsiteY3" fmla="*/ 487680 h 533400"/>
            <a:gd name="connsiteX4" fmla="*/ 381000 w 1882140"/>
            <a:gd name="connsiteY4" fmla="*/ 0 h 53340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289560 w 1790700"/>
            <a:gd name="connsiteY0" fmla="*/ 0 h 541020"/>
            <a:gd name="connsiteX1" fmla="*/ 429260 w 1790700"/>
            <a:gd name="connsiteY1" fmla="*/ 40640 h 541020"/>
            <a:gd name="connsiteX2" fmla="*/ 1790700 w 1790700"/>
            <a:gd name="connsiteY2" fmla="*/ 76200 h 541020"/>
            <a:gd name="connsiteX3" fmla="*/ 1783080 w 1790700"/>
            <a:gd name="connsiteY3" fmla="*/ 533400 h 541020"/>
            <a:gd name="connsiteX4" fmla="*/ 0 w 1790700"/>
            <a:gd name="connsiteY4" fmla="*/ 541020 h 541020"/>
            <a:gd name="connsiteX5" fmla="*/ 289560 w 1790700"/>
            <a:gd name="connsiteY5" fmla="*/ 0 h 541020"/>
            <a:gd name="connsiteX0" fmla="*/ 289560 w 1790700"/>
            <a:gd name="connsiteY0" fmla="*/ 34560 h 575580"/>
            <a:gd name="connsiteX1" fmla="*/ 1790700 w 1790700"/>
            <a:gd name="connsiteY1" fmla="*/ 110760 h 575580"/>
            <a:gd name="connsiteX2" fmla="*/ 1783080 w 1790700"/>
            <a:gd name="connsiteY2" fmla="*/ 567960 h 575580"/>
            <a:gd name="connsiteX3" fmla="*/ 0 w 1790700"/>
            <a:gd name="connsiteY3" fmla="*/ 575580 h 575580"/>
            <a:gd name="connsiteX4" fmla="*/ 289560 w 1790700"/>
            <a:gd name="connsiteY4" fmla="*/ 34560 h 57558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365760 w 1790700"/>
            <a:gd name="connsiteY0" fmla="*/ 0 h 495300"/>
            <a:gd name="connsiteX1" fmla="*/ 1790700 w 1790700"/>
            <a:gd name="connsiteY1" fmla="*/ 30480 h 495300"/>
            <a:gd name="connsiteX2" fmla="*/ 1783080 w 1790700"/>
            <a:gd name="connsiteY2" fmla="*/ 487680 h 495300"/>
            <a:gd name="connsiteX3" fmla="*/ 0 w 1790700"/>
            <a:gd name="connsiteY3" fmla="*/ 495300 h 495300"/>
            <a:gd name="connsiteX4" fmla="*/ 365760 w 1790700"/>
            <a:gd name="connsiteY4" fmla="*/ 0 h 495300"/>
            <a:gd name="connsiteX0" fmla="*/ 365760 w 1965960"/>
            <a:gd name="connsiteY0" fmla="*/ 0 h 495300"/>
            <a:gd name="connsiteX1" fmla="*/ 1965960 w 1965960"/>
            <a:gd name="connsiteY1" fmla="*/ 0 h 495300"/>
            <a:gd name="connsiteX2" fmla="*/ 1783080 w 1965960"/>
            <a:gd name="connsiteY2" fmla="*/ 487680 h 495300"/>
            <a:gd name="connsiteX3" fmla="*/ 0 w 1965960"/>
            <a:gd name="connsiteY3" fmla="*/ 495300 h 495300"/>
            <a:gd name="connsiteX4" fmla="*/ 365760 w 1965960"/>
            <a:gd name="connsiteY4" fmla="*/ 0 h 495300"/>
            <a:gd name="connsiteX0" fmla="*/ 556260 w 1965960"/>
            <a:gd name="connsiteY0" fmla="*/ 0 h 502920"/>
            <a:gd name="connsiteX1" fmla="*/ 1965960 w 1965960"/>
            <a:gd name="connsiteY1" fmla="*/ 7620 h 502920"/>
            <a:gd name="connsiteX2" fmla="*/ 1783080 w 1965960"/>
            <a:gd name="connsiteY2" fmla="*/ 495300 h 502920"/>
            <a:gd name="connsiteX3" fmla="*/ 0 w 1965960"/>
            <a:gd name="connsiteY3" fmla="*/ 502920 h 502920"/>
            <a:gd name="connsiteX4" fmla="*/ 556260 w 1965960"/>
            <a:gd name="connsiteY4" fmla="*/ 0 h 502920"/>
            <a:gd name="connsiteX0" fmla="*/ 533400 w 1943100"/>
            <a:gd name="connsiteY0" fmla="*/ 0 h 495300"/>
            <a:gd name="connsiteX1" fmla="*/ 1943100 w 1943100"/>
            <a:gd name="connsiteY1" fmla="*/ 7620 h 495300"/>
            <a:gd name="connsiteX2" fmla="*/ 1760220 w 1943100"/>
            <a:gd name="connsiteY2" fmla="*/ 495300 h 495300"/>
            <a:gd name="connsiteX3" fmla="*/ 0 w 1943100"/>
            <a:gd name="connsiteY3" fmla="*/ 426720 h 495300"/>
            <a:gd name="connsiteX4" fmla="*/ 533400 w 1943100"/>
            <a:gd name="connsiteY4" fmla="*/ 0 h 495300"/>
            <a:gd name="connsiteX0" fmla="*/ 533400 w 1958340"/>
            <a:gd name="connsiteY0" fmla="*/ 0 h 434340"/>
            <a:gd name="connsiteX1" fmla="*/ 1943100 w 1958340"/>
            <a:gd name="connsiteY1" fmla="*/ 7620 h 434340"/>
            <a:gd name="connsiteX2" fmla="*/ 1958340 w 1958340"/>
            <a:gd name="connsiteY2" fmla="*/ 434340 h 434340"/>
            <a:gd name="connsiteX3" fmla="*/ 0 w 1958340"/>
            <a:gd name="connsiteY3" fmla="*/ 426720 h 434340"/>
            <a:gd name="connsiteX4" fmla="*/ 533400 w 1958340"/>
            <a:gd name="connsiteY4" fmla="*/ 0 h 4343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58340" h="434340">
              <a:moveTo>
                <a:pt x="533400" y="0"/>
              </a:moveTo>
              <a:lnTo>
                <a:pt x="1943100" y="7620"/>
              </a:lnTo>
              <a:lnTo>
                <a:pt x="1958340" y="434340"/>
              </a:lnTo>
              <a:lnTo>
                <a:pt x="0" y="426720"/>
              </a:lnTo>
              <a:lnTo>
                <a:pt x="533400" y="0"/>
              </a:lnTo>
              <a:close/>
            </a:path>
          </a:pathLst>
        </a:custGeom>
        <a:solidFill>
          <a:srgbClr val="A6A6A6">
            <a:alpha val="25000"/>
          </a:srgbClr>
        </a:solidFill>
        <a:ln w="9525" cap="flat" cmpd="sng" algn="ctr">
          <a:noFill/>
          <a:prstDash val="solid"/>
          <a:round/>
          <a:headEnd type="none" w="med" len="med"/>
          <a:tailEnd type="none" w="med" len="med"/>
        </a:ln>
        <a:effectLst/>
      </xdr:spPr>
      <xdr:txBody>
        <a:bodyPr rot="0" spcFirstLastPara="0" vert="horz" wrap="square" lIns="18288" tIns="0" rIns="0" bIns="0" numCol="1" spcCol="0" rtlCol="0" fromWordArt="0" anchor="t" anchorCtr="0" forceAA="0" upright="1"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lang="en-US" sz="1100"/>
        </a:p>
      </xdr:txBody>
    </xdr:sp>
    <xdr:clientData/>
  </xdr:twoCellAnchor>
  <xdr:twoCellAnchor>
    <xdr:from>
      <xdr:col>15</xdr:col>
      <xdr:colOff>83820</xdr:colOff>
      <xdr:row>2</xdr:row>
      <xdr:rowOff>144780</xdr:rowOff>
    </xdr:from>
    <xdr:to>
      <xdr:col>15</xdr:col>
      <xdr:colOff>352419</xdr:colOff>
      <xdr:row>4</xdr:row>
      <xdr:rowOff>64887</xdr:rowOff>
    </xdr:to>
    <xdr:sp macro="" textlink="">
      <xdr:nvSpPr>
        <xdr:cNvPr id="23" name="Freeform 24">
          <a:extLst>
            <a:ext uri="{FF2B5EF4-FFF2-40B4-BE49-F238E27FC236}">
              <a16:creationId xmlns:a16="http://schemas.microsoft.com/office/drawing/2014/main" id="{00000000-0008-0000-0E00-000017000000}"/>
            </a:ext>
          </a:extLst>
        </xdr:cNvPr>
        <xdr:cNvSpPr/>
      </xdr:nvSpPr>
      <xdr:spPr bwMode="auto">
        <a:xfrm>
          <a:off x="9056370" y="621030"/>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548409</xdr:colOff>
      <xdr:row>25</xdr:row>
      <xdr:rowOff>126732</xdr:rowOff>
    </xdr:from>
    <xdr:to>
      <xdr:col>12</xdr:col>
      <xdr:colOff>1953483</xdr:colOff>
      <xdr:row>47</xdr:row>
      <xdr:rowOff>113421</xdr:rowOff>
    </xdr:to>
    <xdr:sp macro="" textlink="">
      <xdr:nvSpPr>
        <xdr:cNvPr id="3" name="Freeform 2">
          <a:extLst>
            <a:ext uri="{FF2B5EF4-FFF2-40B4-BE49-F238E27FC236}">
              <a16:creationId xmlns:a16="http://schemas.microsoft.com/office/drawing/2014/main" id="{00000000-0008-0000-0F00-000003000000}"/>
            </a:ext>
          </a:extLst>
        </xdr:cNvPr>
        <xdr:cNvSpPr>
          <a:spLocks/>
        </xdr:cNvSpPr>
      </xdr:nvSpPr>
      <xdr:spPr bwMode="auto">
        <a:xfrm>
          <a:off x="4398989" y="4795673"/>
          <a:ext cx="3636967" cy="3864322"/>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0 w 10000"/>
            <a:gd name="connsiteY0" fmla="*/ 9974 h 10000"/>
            <a:gd name="connsiteX1" fmla="*/ 0 w 10000"/>
            <a:gd name="connsiteY1" fmla="*/ 5692 h 10000"/>
            <a:gd name="connsiteX2" fmla="*/ 6044 w 10000"/>
            <a:gd name="connsiteY2" fmla="*/ 332 h 10000"/>
            <a:gd name="connsiteX3" fmla="*/ 9921 w 10000"/>
            <a:gd name="connsiteY3" fmla="*/ 0 h 10000"/>
            <a:gd name="connsiteX4" fmla="*/ 10000 w 10000"/>
            <a:gd name="connsiteY4" fmla="*/ 10000 h 10000"/>
            <a:gd name="connsiteX0" fmla="*/ 0 w 10000"/>
            <a:gd name="connsiteY0" fmla="*/ 9642 h 9668"/>
            <a:gd name="connsiteX1" fmla="*/ 0 w 10000"/>
            <a:gd name="connsiteY1" fmla="*/ 5360 h 9668"/>
            <a:gd name="connsiteX2" fmla="*/ 6044 w 10000"/>
            <a:gd name="connsiteY2" fmla="*/ 0 h 9668"/>
            <a:gd name="connsiteX3" fmla="*/ 9921 w 10000"/>
            <a:gd name="connsiteY3" fmla="*/ 31 h 9668"/>
            <a:gd name="connsiteX4" fmla="*/ 10000 w 10000"/>
            <a:gd name="connsiteY4" fmla="*/ 9668 h 9668"/>
            <a:gd name="connsiteX0" fmla="*/ 0 w 10000"/>
            <a:gd name="connsiteY0" fmla="*/ 9973 h 10000"/>
            <a:gd name="connsiteX1" fmla="*/ 0 w 10000"/>
            <a:gd name="connsiteY1" fmla="*/ 7087 h 10000"/>
            <a:gd name="connsiteX2" fmla="*/ 6044 w 10000"/>
            <a:gd name="connsiteY2" fmla="*/ 0 h 10000"/>
            <a:gd name="connsiteX3" fmla="*/ 9921 w 10000"/>
            <a:gd name="connsiteY3" fmla="*/ 32 h 10000"/>
            <a:gd name="connsiteX4" fmla="*/ 10000 w 10000"/>
            <a:gd name="connsiteY4" fmla="*/ 10000 h 10000"/>
            <a:gd name="connsiteX0" fmla="*/ 0 w 10145"/>
            <a:gd name="connsiteY0" fmla="*/ 9973 h 10000"/>
            <a:gd name="connsiteX1" fmla="*/ 145 w 10145"/>
            <a:gd name="connsiteY1" fmla="*/ 7087 h 10000"/>
            <a:gd name="connsiteX2" fmla="*/ 6189 w 10145"/>
            <a:gd name="connsiteY2" fmla="*/ 0 h 10000"/>
            <a:gd name="connsiteX3" fmla="*/ 10066 w 10145"/>
            <a:gd name="connsiteY3" fmla="*/ 32 h 10000"/>
            <a:gd name="connsiteX4" fmla="*/ 10145 w 10145"/>
            <a:gd name="connsiteY4" fmla="*/ 10000 h 10000"/>
            <a:gd name="connsiteX0" fmla="*/ 32 w 10177"/>
            <a:gd name="connsiteY0" fmla="*/ 9973 h 10000"/>
            <a:gd name="connsiteX1" fmla="*/ 11 w 10177"/>
            <a:gd name="connsiteY1" fmla="*/ 5979 h 10000"/>
            <a:gd name="connsiteX2" fmla="*/ 6221 w 10177"/>
            <a:gd name="connsiteY2" fmla="*/ 0 h 10000"/>
            <a:gd name="connsiteX3" fmla="*/ 10098 w 10177"/>
            <a:gd name="connsiteY3" fmla="*/ 32 h 10000"/>
            <a:gd name="connsiteX4" fmla="*/ 10177 w 10177"/>
            <a:gd name="connsiteY4" fmla="*/ 10000 h 10000"/>
            <a:gd name="connsiteX0" fmla="*/ 32 w 10177"/>
            <a:gd name="connsiteY0" fmla="*/ 10250 h 10277"/>
            <a:gd name="connsiteX1" fmla="*/ 11 w 10177"/>
            <a:gd name="connsiteY1" fmla="*/ 6256 h 10277"/>
            <a:gd name="connsiteX2" fmla="*/ 4192 w 10177"/>
            <a:gd name="connsiteY2" fmla="*/ 0 h 10277"/>
            <a:gd name="connsiteX3" fmla="*/ 10098 w 10177"/>
            <a:gd name="connsiteY3" fmla="*/ 309 h 10277"/>
            <a:gd name="connsiteX4" fmla="*/ 10177 w 10177"/>
            <a:gd name="connsiteY4" fmla="*/ 10277 h 10277"/>
            <a:gd name="connsiteX0" fmla="*/ 32 w 10177"/>
            <a:gd name="connsiteY0" fmla="*/ 10250 h 10277"/>
            <a:gd name="connsiteX1" fmla="*/ 11 w 10177"/>
            <a:gd name="connsiteY1" fmla="*/ 6256 h 10277"/>
            <a:gd name="connsiteX2" fmla="*/ 4192 w 10177"/>
            <a:gd name="connsiteY2" fmla="*/ 0 h 10277"/>
            <a:gd name="connsiteX3" fmla="*/ 9705 w 10177"/>
            <a:gd name="connsiteY3" fmla="*/ 52 h 10277"/>
            <a:gd name="connsiteX4" fmla="*/ 10177 w 10177"/>
            <a:gd name="connsiteY4" fmla="*/ 10277 h 10277"/>
            <a:gd name="connsiteX0" fmla="*/ 32 w 9763"/>
            <a:gd name="connsiteY0" fmla="*/ 10250 h 10250"/>
            <a:gd name="connsiteX1" fmla="*/ 11 w 9763"/>
            <a:gd name="connsiteY1" fmla="*/ 6256 h 10250"/>
            <a:gd name="connsiteX2" fmla="*/ 4192 w 9763"/>
            <a:gd name="connsiteY2" fmla="*/ 0 h 10250"/>
            <a:gd name="connsiteX3" fmla="*/ 9705 w 9763"/>
            <a:gd name="connsiteY3" fmla="*/ 52 h 10250"/>
            <a:gd name="connsiteX4" fmla="*/ 9763 w 9763"/>
            <a:gd name="connsiteY4" fmla="*/ 10237 h 10250"/>
            <a:gd name="connsiteX0" fmla="*/ 22 w 9989"/>
            <a:gd name="connsiteY0" fmla="*/ 10000 h 10000"/>
            <a:gd name="connsiteX1" fmla="*/ 0 w 9989"/>
            <a:gd name="connsiteY1" fmla="*/ 6103 h 10000"/>
            <a:gd name="connsiteX2" fmla="*/ 4283 w 9989"/>
            <a:gd name="connsiteY2" fmla="*/ 0 h 10000"/>
            <a:gd name="connsiteX3" fmla="*/ 9930 w 9989"/>
            <a:gd name="connsiteY3" fmla="*/ 51 h 10000"/>
            <a:gd name="connsiteX4" fmla="*/ 9989 w 9989"/>
            <a:gd name="connsiteY4" fmla="*/ 9987 h 10000"/>
            <a:gd name="connsiteX0" fmla="*/ 22 w 10000"/>
            <a:gd name="connsiteY0" fmla="*/ 10007 h 10007"/>
            <a:gd name="connsiteX1" fmla="*/ 0 w 10000"/>
            <a:gd name="connsiteY1" fmla="*/ 6110 h 10007"/>
            <a:gd name="connsiteX2" fmla="*/ 4288 w 10000"/>
            <a:gd name="connsiteY2" fmla="*/ 7 h 10007"/>
            <a:gd name="connsiteX3" fmla="*/ 9941 w 10000"/>
            <a:gd name="connsiteY3" fmla="*/ 0 h 10007"/>
            <a:gd name="connsiteX4" fmla="*/ 10000 w 10000"/>
            <a:gd name="connsiteY4" fmla="*/ 9994 h 10007"/>
            <a:gd name="connsiteX0" fmla="*/ 22 w 10000"/>
            <a:gd name="connsiteY0" fmla="*/ 10007 h 10007"/>
            <a:gd name="connsiteX1" fmla="*/ 0 w 10000"/>
            <a:gd name="connsiteY1" fmla="*/ 6650 h 10007"/>
            <a:gd name="connsiteX2" fmla="*/ 4288 w 10000"/>
            <a:gd name="connsiteY2" fmla="*/ 7 h 10007"/>
            <a:gd name="connsiteX3" fmla="*/ 9941 w 10000"/>
            <a:gd name="connsiteY3" fmla="*/ 0 h 10007"/>
            <a:gd name="connsiteX4" fmla="*/ 10000 w 10000"/>
            <a:gd name="connsiteY4" fmla="*/ 9994 h 10007"/>
            <a:gd name="connsiteX0" fmla="*/ 22 w 10000"/>
            <a:gd name="connsiteY0" fmla="*/ 10007 h 10007"/>
            <a:gd name="connsiteX1" fmla="*/ 0 w 10000"/>
            <a:gd name="connsiteY1" fmla="*/ 6650 h 10007"/>
            <a:gd name="connsiteX2" fmla="*/ 5201 w 10000"/>
            <a:gd name="connsiteY2" fmla="*/ 239 h 10007"/>
            <a:gd name="connsiteX3" fmla="*/ 9941 w 10000"/>
            <a:gd name="connsiteY3" fmla="*/ 0 h 10007"/>
            <a:gd name="connsiteX4" fmla="*/ 10000 w 10000"/>
            <a:gd name="connsiteY4" fmla="*/ 9994 h 10007"/>
            <a:gd name="connsiteX0" fmla="*/ 22 w 10000"/>
            <a:gd name="connsiteY0" fmla="*/ 9768 h 9768"/>
            <a:gd name="connsiteX1" fmla="*/ 0 w 10000"/>
            <a:gd name="connsiteY1" fmla="*/ 6411 h 9768"/>
            <a:gd name="connsiteX2" fmla="*/ 5201 w 10000"/>
            <a:gd name="connsiteY2" fmla="*/ 0 h 9768"/>
            <a:gd name="connsiteX3" fmla="*/ 9941 w 10000"/>
            <a:gd name="connsiteY3" fmla="*/ 31 h 9768"/>
            <a:gd name="connsiteX4" fmla="*/ 10000 w 10000"/>
            <a:gd name="connsiteY4" fmla="*/ 9755 h 9768"/>
            <a:gd name="connsiteX0" fmla="*/ 22 w 10000"/>
            <a:gd name="connsiteY0" fmla="*/ 10000 h 10000"/>
            <a:gd name="connsiteX1" fmla="*/ 0 w 10000"/>
            <a:gd name="connsiteY1" fmla="*/ 6563 h 10000"/>
            <a:gd name="connsiteX2" fmla="*/ 5201 w 10000"/>
            <a:gd name="connsiteY2" fmla="*/ 0 h 10000"/>
            <a:gd name="connsiteX3" fmla="*/ 9941 w 10000"/>
            <a:gd name="connsiteY3" fmla="*/ 12 h 10000"/>
            <a:gd name="connsiteX4" fmla="*/ 10000 w 10000"/>
            <a:gd name="connsiteY4" fmla="*/ 9987 h 10000"/>
            <a:gd name="connsiteX0" fmla="*/ 22 w 10113"/>
            <a:gd name="connsiteY0" fmla="*/ 10000 h 10000"/>
            <a:gd name="connsiteX1" fmla="*/ 0 w 10113"/>
            <a:gd name="connsiteY1" fmla="*/ 6563 h 10000"/>
            <a:gd name="connsiteX2" fmla="*/ 5201 w 10113"/>
            <a:gd name="connsiteY2" fmla="*/ 0 h 10000"/>
            <a:gd name="connsiteX3" fmla="*/ 10111 w 10113"/>
            <a:gd name="connsiteY3" fmla="*/ 12 h 10000"/>
            <a:gd name="connsiteX4" fmla="*/ 10000 w 10113"/>
            <a:gd name="connsiteY4" fmla="*/ 9987 h 10000"/>
            <a:gd name="connsiteX0" fmla="*/ 22 w 10127"/>
            <a:gd name="connsiteY0" fmla="*/ 10000 h 10000"/>
            <a:gd name="connsiteX1" fmla="*/ 0 w 10127"/>
            <a:gd name="connsiteY1" fmla="*/ 6563 h 10000"/>
            <a:gd name="connsiteX2" fmla="*/ 5201 w 10127"/>
            <a:gd name="connsiteY2" fmla="*/ 0 h 10000"/>
            <a:gd name="connsiteX3" fmla="*/ 10111 w 10127"/>
            <a:gd name="connsiteY3" fmla="*/ 12 h 10000"/>
            <a:gd name="connsiteX4" fmla="*/ 10127 w 10127"/>
            <a:gd name="connsiteY4" fmla="*/ 9967 h 10000"/>
            <a:gd name="connsiteX0" fmla="*/ 22 w 10116"/>
            <a:gd name="connsiteY0" fmla="*/ 10000 h 10000"/>
            <a:gd name="connsiteX1" fmla="*/ 0 w 10116"/>
            <a:gd name="connsiteY1" fmla="*/ 6563 h 10000"/>
            <a:gd name="connsiteX2" fmla="*/ 5201 w 10116"/>
            <a:gd name="connsiteY2" fmla="*/ 0 h 10000"/>
            <a:gd name="connsiteX3" fmla="*/ 10111 w 10116"/>
            <a:gd name="connsiteY3" fmla="*/ 12 h 10000"/>
            <a:gd name="connsiteX4" fmla="*/ 10085 w 10116"/>
            <a:gd name="connsiteY4" fmla="*/ 9967 h 10000"/>
            <a:gd name="connsiteX0" fmla="*/ 22 w 10135"/>
            <a:gd name="connsiteY0" fmla="*/ 10000 h 10000"/>
            <a:gd name="connsiteX1" fmla="*/ 0 w 10135"/>
            <a:gd name="connsiteY1" fmla="*/ 6563 h 10000"/>
            <a:gd name="connsiteX2" fmla="*/ 5201 w 10135"/>
            <a:gd name="connsiteY2" fmla="*/ 0 h 10000"/>
            <a:gd name="connsiteX3" fmla="*/ 10111 w 10135"/>
            <a:gd name="connsiteY3" fmla="*/ 12 h 10000"/>
            <a:gd name="connsiteX4" fmla="*/ 10135 w 10135"/>
            <a:gd name="connsiteY4" fmla="*/ 9955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135" h="10000">
              <a:moveTo>
                <a:pt x="22" y="10000"/>
              </a:moveTo>
              <a:cubicBezTo>
                <a:pt x="15" y="8670"/>
                <a:pt x="7" y="7893"/>
                <a:pt x="0" y="6563"/>
              </a:cubicBezTo>
              <a:lnTo>
                <a:pt x="5201" y="0"/>
              </a:lnTo>
              <a:lnTo>
                <a:pt x="10111" y="12"/>
              </a:lnTo>
              <a:cubicBezTo>
                <a:pt x="10137" y="3456"/>
                <a:pt x="10108" y="6512"/>
                <a:pt x="10135" y="9955"/>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27</xdr:row>
      <xdr:rowOff>91440</xdr:rowOff>
    </xdr:to>
    <xdr:sp macro="" textlink="">
      <xdr:nvSpPr>
        <xdr:cNvPr id="4" name="Text Box 3">
          <a:extLst>
            <a:ext uri="{FF2B5EF4-FFF2-40B4-BE49-F238E27FC236}">
              <a16:creationId xmlns:a16="http://schemas.microsoft.com/office/drawing/2014/main" id="{00000000-0008-0000-0F00-000004000000}"/>
            </a:ext>
          </a:extLst>
        </xdr:cNvPr>
        <xdr:cNvSpPr txBox="1">
          <a:spLocks noChangeArrowheads="1"/>
        </xdr:cNvSpPr>
      </xdr:nvSpPr>
      <xdr:spPr bwMode="auto">
        <a:xfrm>
          <a:off x="4200525" y="4509135"/>
          <a:ext cx="1150620" cy="56578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C182Q (230 HP)</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sz="900" b="0" i="1" baseline="0">
              <a:solidFill>
                <a:srgbClr val="FF0000"/>
              </a:solidFill>
              <a:effectLst/>
              <a:latin typeface="+mn-lt"/>
              <a:ea typeface="+mn-ea"/>
              <a:cs typeface="+mn-cs"/>
            </a:rPr>
            <a:t>Dashed red line is LANDING weight limit.</a:t>
          </a:r>
          <a:endParaRPr lang="en-US" sz="700">
            <a:solidFill>
              <a:srgbClr val="FF0000"/>
            </a:solidFill>
            <a:effectLst/>
          </a:endParaRP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0F00-000005000000}"/>
            </a:ext>
          </a:extLst>
        </xdr:cNvPr>
        <xdr:cNvGrpSpPr>
          <a:grpSpLocks/>
        </xdr:cNvGrpSpPr>
      </xdr:nvGrpSpPr>
      <xdr:grpSpPr bwMode="auto">
        <a:xfrm>
          <a:off x="1028700" y="981075"/>
          <a:ext cx="1152525" cy="1476375"/>
          <a:chOff x="108" y="43"/>
          <a:chExt cx="121" cy="163"/>
        </a:xfrm>
      </xdr:grpSpPr>
      <xdr:sp macro="" textlink="">
        <xdr:nvSpPr>
          <xdr:cNvPr id="6" name="Freeform 10">
            <a:extLst>
              <a:ext uri="{FF2B5EF4-FFF2-40B4-BE49-F238E27FC236}">
                <a16:creationId xmlns:a16="http://schemas.microsoft.com/office/drawing/2014/main" id="{00000000-0008-0000-0F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0F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0F00-000008000000}"/>
            </a:ext>
          </a:extLst>
        </xdr:cNvPr>
        <xdr:cNvSpPr txBox="1">
          <a:spLocks noChangeArrowheads="1"/>
        </xdr:cNvSpPr>
      </xdr:nvSpPr>
      <xdr:spPr bwMode="auto">
        <a:xfrm>
          <a:off x="3507105" y="547306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0F00-000009000000}"/>
            </a:ext>
          </a:extLst>
        </xdr:cNvPr>
        <xdr:cNvSpPr txBox="1">
          <a:spLocks noChangeArrowheads="1"/>
        </xdr:cNvSpPr>
      </xdr:nvSpPr>
      <xdr:spPr bwMode="auto">
        <a:xfrm>
          <a:off x="5808345" y="3968115"/>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04785" y="27051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0F00-00000B000000}"/>
            </a:ext>
          </a:extLst>
        </xdr:cNvPr>
        <xdr:cNvSpPr>
          <a:spLocks/>
        </xdr:cNvSpPr>
      </xdr:nvSpPr>
      <xdr:spPr bwMode="auto">
        <a:xfrm>
          <a:off x="17461230" y="144970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480192 w 1247775"/>
            <a:gd name="connsiteY2" fmla="*/ 0 h 1152525"/>
            <a:gd name="connsiteX3" fmla="*/ 1247775 w 1247775"/>
            <a:gd name="connsiteY3" fmla="*/ 0 h 1152525"/>
            <a:gd name="connsiteX4" fmla="*/ 1238250 w 1247775"/>
            <a:gd name="connsiteY4" fmla="*/ 1133475 h 11525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0F00-00000C000000}"/>
            </a:ext>
          </a:extLst>
        </xdr:cNvPr>
        <xdr:cNvSpPr>
          <a:spLocks/>
        </xdr:cNvSpPr>
      </xdr:nvSpPr>
      <xdr:spPr bwMode="auto">
        <a:xfrm>
          <a:off x="20585430" y="1506855"/>
          <a:ext cx="116776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6476 w 1247775"/>
            <a:gd name="connsiteY2" fmla="*/ 256982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42487 w 1247775"/>
            <a:gd name="connsiteY2" fmla="*/ 207143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480192 w 1247775"/>
            <a:gd name="connsiteY2" fmla="*/ 0 h 1152525"/>
            <a:gd name="connsiteX3" fmla="*/ 1247775 w 1247775"/>
            <a:gd name="connsiteY3" fmla="*/ 0 h 1152525"/>
            <a:gd name="connsiteX4" fmla="*/ 1238250 w 1247775"/>
            <a:gd name="connsiteY4" fmla="*/ 1133475 h 11525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64770</xdr:colOff>
      <xdr:row>32</xdr:row>
      <xdr:rowOff>9525</xdr:rowOff>
    </xdr:from>
    <xdr:to>
      <xdr:col>27</xdr:col>
      <xdr:colOff>560070</xdr:colOff>
      <xdr:row>40</xdr:row>
      <xdr:rowOff>32385</xdr:rowOff>
    </xdr:to>
    <xdr:sp macro="" textlink="">
      <xdr:nvSpPr>
        <xdr:cNvPr id="16" name="Freeform 26">
          <a:extLst>
            <a:ext uri="{FF2B5EF4-FFF2-40B4-BE49-F238E27FC236}">
              <a16:creationId xmlns:a16="http://schemas.microsoft.com/office/drawing/2014/main" id="{00000000-0008-0000-0F00-000010000000}"/>
            </a:ext>
          </a:extLst>
        </xdr:cNvPr>
        <xdr:cNvSpPr>
          <a:spLocks/>
        </xdr:cNvSpPr>
      </xdr:nvSpPr>
      <xdr:spPr bwMode="auto">
        <a:xfrm>
          <a:off x="17468850" y="583120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480192 w 1247775"/>
            <a:gd name="connsiteY2" fmla="*/ 0 h 1152525"/>
            <a:gd name="connsiteX3" fmla="*/ 1247775 w 1247775"/>
            <a:gd name="connsiteY3" fmla="*/ 0 h 1152525"/>
            <a:gd name="connsiteX4" fmla="*/ 1238250 w 1247775"/>
            <a:gd name="connsiteY4" fmla="*/ 1133475 h 11525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26670</xdr:colOff>
      <xdr:row>32</xdr:row>
      <xdr:rowOff>40005</xdr:rowOff>
    </xdr:from>
    <xdr:to>
      <xdr:col>32</xdr:col>
      <xdr:colOff>521970</xdr:colOff>
      <xdr:row>40</xdr:row>
      <xdr:rowOff>62865</xdr:rowOff>
    </xdr:to>
    <xdr:sp macro="" textlink="">
      <xdr:nvSpPr>
        <xdr:cNvPr id="17" name="Freeform 26">
          <a:extLst>
            <a:ext uri="{FF2B5EF4-FFF2-40B4-BE49-F238E27FC236}">
              <a16:creationId xmlns:a16="http://schemas.microsoft.com/office/drawing/2014/main" id="{00000000-0008-0000-0F00-000011000000}"/>
            </a:ext>
          </a:extLst>
        </xdr:cNvPr>
        <xdr:cNvSpPr>
          <a:spLocks/>
        </xdr:cNvSpPr>
      </xdr:nvSpPr>
      <xdr:spPr bwMode="auto">
        <a:xfrm>
          <a:off x="20554950" y="586168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480192 w 1247775"/>
            <a:gd name="connsiteY2" fmla="*/ 0 h 1152525"/>
            <a:gd name="connsiteX3" fmla="*/ 1247775 w 1247775"/>
            <a:gd name="connsiteY3" fmla="*/ 0 h 1152525"/>
            <a:gd name="connsiteX4" fmla="*/ 1238250 w 1247775"/>
            <a:gd name="connsiteY4" fmla="*/ 1133475 h 11525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38100</xdr:colOff>
      <xdr:row>59</xdr:row>
      <xdr:rowOff>38100</xdr:rowOff>
    </xdr:from>
    <xdr:to>
      <xdr:col>26</xdr:col>
      <xdr:colOff>167640</xdr:colOff>
      <xdr:row>59</xdr:row>
      <xdr:rowOff>60960</xdr:rowOff>
    </xdr:to>
    <xdr:sp macro="" textlink="">
      <xdr:nvSpPr>
        <xdr:cNvPr id="19" name="Freeform 18">
          <a:extLst>
            <a:ext uri="{FF2B5EF4-FFF2-40B4-BE49-F238E27FC236}">
              <a16:creationId xmlns:a16="http://schemas.microsoft.com/office/drawing/2014/main" id="{00000000-0008-0000-0F00-000013000000}"/>
            </a:ext>
          </a:extLst>
        </xdr:cNvPr>
        <xdr:cNvSpPr/>
      </xdr:nvSpPr>
      <xdr:spPr bwMode="auto">
        <a:xfrm>
          <a:off x="17442180" y="1050036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oneCellAnchor>
    <xdr:from>
      <xdr:col>1</xdr:col>
      <xdr:colOff>0</xdr:colOff>
      <xdr:row>13</xdr:row>
      <xdr:rowOff>0</xdr:rowOff>
    </xdr:from>
    <xdr:ext cx="370486" cy="180819"/>
    <xdr:sp macro="" textlink="">
      <xdr:nvSpPr>
        <xdr:cNvPr id="18" name="TextBox 17">
          <a:extLst>
            <a:ext uri="{FF2B5EF4-FFF2-40B4-BE49-F238E27FC236}">
              <a16:creationId xmlns:a16="http://schemas.microsoft.com/office/drawing/2014/main" id="{00000000-0008-0000-0F00-000012000000}"/>
            </a:ext>
          </a:extLst>
        </xdr:cNvPr>
        <xdr:cNvSpPr txBox="1"/>
      </xdr:nvSpPr>
      <xdr:spPr>
        <a:xfrm>
          <a:off x="91440" y="2392680"/>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15</xdr:col>
      <xdr:colOff>91440</xdr:colOff>
      <xdr:row>2</xdr:row>
      <xdr:rowOff>137160</xdr:rowOff>
    </xdr:from>
    <xdr:to>
      <xdr:col>15</xdr:col>
      <xdr:colOff>360039</xdr:colOff>
      <xdr:row>4</xdr:row>
      <xdr:rowOff>57267</xdr:rowOff>
    </xdr:to>
    <xdr:sp macro="" textlink="">
      <xdr:nvSpPr>
        <xdr:cNvPr id="20" name="Freeform 19">
          <a:extLst>
            <a:ext uri="{FF2B5EF4-FFF2-40B4-BE49-F238E27FC236}">
              <a16:creationId xmlns:a16="http://schemas.microsoft.com/office/drawing/2014/main" id="{00000000-0008-0000-0F00-000014000000}"/>
            </a:ext>
          </a:extLst>
        </xdr:cNvPr>
        <xdr:cNvSpPr/>
      </xdr:nvSpPr>
      <xdr:spPr bwMode="auto">
        <a:xfrm>
          <a:off x="9349740" y="609600"/>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twoCellAnchor>
    <xdr:from>
      <xdr:col>11</xdr:col>
      <xdr:colOff>685799</xdr:colOff>
      <xdr:row>28</xdr:row>
      <xdr:rowOff>7617</xdr:rowOff>
    </xdr:from>
    <xdr:to>
      <xdr:col>12</xdr:col>
      <xdr:colOff>1941070</xdr:colOff>
      <xdr:row>28</xdr:row>
      <xdr:rowOff>68578</xdr:rowOff>
    </xdr:to>
    <xdr:sp macro="" textlink="">
      <xdr:nvSpPr>
        <xdr:cNvPr id="21" name="Freeform 20">
          <a:extLst>
            <a:ext uri="{FF2B5EF4-FFF2-40B4-BE49-F238E27FC236}">
              <a16:creationId xmlns:a16="http://schemas.microsoft.com/office/drawing/2014/main" id="{00000000-0008-0000-0F00-000015000000}"/>
            </a:ext>
          </a:extLst>
        </xdr:cNvPr>
        <xdr:cNvSpPr/>
      </xdr:nvSpPr>
      <xdr:spPr bwMode="auto">
        <a:xfrm flipV="1">
          <a:off x="5952166" y="5188315"/>
          <a:ext cx="2071377" cy="60961"/>
        </a:xfrm>
        <a:custGeom>
          <a:avLst/>
          <a:gdLst>
            <a:gd name="connsiteX0" fmla="*/ 0 w 1813560"/>
            <a:gd name="connsiteY0" fmla="*/ 0 h 0"/>
            <a:gd name="connsiteX1" fmla="*/ 1813560 w 1813560"/>
            <a:gd name="connsiteY1" fmla="*/ 0 h 0"/>
          </a:gdLst>
          <a:ahLst/>
          <a:cxnLst>
            <a:cxn ang="0">
              <a:pos x="connsiteX0" y="connsiteY0"/>
            </a:cxn>
            <a:cxn ang="0">
              <a:pos x="connsiteX1" y="connsiteY1"/>
            </a:cxn>
          </a:cxnLst>
          <a:rect l="l" t="t" r="r" b="b"/>
          <a:pathLst>
            <a:path w="1813560">
              <a:moveTo>
                <a:pt x="0" y="0"/>
              </a:moveTo>
              <a:lnTo>
                <a:pt x="1813560" y="0"/>
              </a:lnTo>
            </a:path>
          </a:pathLst>
        </a:custGeom>
        <a:noFill/>
        <a:ln w="19050" cap="flat" cmpd="sng" algn="ctr">
          <a:solidFill>
            <a:srgbClr val="FF0000"/>
          </a:solidFill>
          <a:prstDash val="dash"/>
          <a:round/>
          <a:headEnd type="none" w="med" len="med"/>
          <a:tailEnd type="none" w="med" len="med"/>
        </a:ln>
        <a:effectLst/>
      </xdr:spPr>
      <xdr:txBody>
        <a:bodyPr vertOverflow="clip" horzOverflow="clip" wrap="square" lIns="18288" tIns="0" rIns="0" bIns="0" rtlCol="0" anchor="t" upright="1">
          <a:spAutoFit/>
        </a:bodyPr>
        <a:lstStyle/>
        <a:p>
          <a:pPr algn="l"/>
          <a:endParaRPr lang="en-US" sz="1100"/>
        </a:p>
      </xdr:txBody>
    </xdr:sp>
    <xdr:clientData/>
  </xdr:twoCellAnchor>
  <xdr:twoCellAnchor>
    <xdr:from>
      <xdr:col>11</xdr:col>
      <xdr:colOff>708659</xdr:colOff>
      <xdr:row>25</xdr:row>
      <xdr:rowOff>129540</xdr:rowOff>
    </xdr:from>
    <xdr:to>
      <xdr:col>12</xdr:col>
      <xdr:colOff>1950088</xdr:colOff>
      <xdr:row>28</xdr:row>
      <xdr:rowOff>60960</xdr:rowOff>
    </xdr:to>
    <xdr:sp macro="" textlink="">
      <xdr:nvSpPr>
        <xdr:cNvPr id="22" name="Freeform 21">
          <a:extLst>
            <a:ext uri="{FF2B5EF4-FFF2-40B4-BE49-F238E27FC236}">
              <a16:creationId xmlns:a16="http://schemas.microsoft.com/office/drawing/2014/main" id="{00000000-0008-0000-0F00-000016000000}"/>
            </a:ext>
          </a:extLst>
        </xdr:cNvPr>
        <xdr:cNvSpPr/>
      </xdr:nvSpPr>
      <xdr:spPr bwMode="auto">
        <a:xfrm>
          <a:off x="5975026" y="4798481"/>
          <a:ext cx="2057535" cy="443177"/>
        </a:xfrm>
        <a:custGeom>
          <a:avLst/>
          <a:gdLst>
            <a:gd name="connsiteX0" fmla="*/ 381000 w 1805940"/>
            <a:gd name="connsiteY0" fmla="*/ 0 h 495300"/>
            <a:gd name="connsiteX1" fmla="*/ 1798320 w 1805940"/>
            <a:gd name="connsiteY1" fmla="*/ 15240 h 495300"/>
            <a:gd name="connsiteX2" fmla="*/ 1805940 w 1805940"/>
            <a:gd name="connsiteY2" fmla="*/ 495300 h 495300"/>
            <a:gd name="connsiteX3" fmla="*/ 0 w 1805940"/>
            <a:gd name="connsiteY3" fmla="*/ 487680 h 495300"/>
            <a:gd name="connsiteX4" fmla="*/ 381000 w 1805940"/>
            <a:gd name="connsiteY4" fmla="*/ 0 h 495300"/>
            <a:gd name="connsiteX0" fmla="*/ 381000 w 1882140"/>
            <a:gd name="connsiteY0" fmla="*/ 0 h 495300"/>
            <a:gd name="connsiteX1" fmla="*/ 1882140 w 1882140"/>
            <a:gd name="connsiteY1" fmla="*/ 76200 h 495300"/>
            <a:gd name="connsiteX2" fmla="*/ 1805940 w 1882140"/>
            <a:gd name="connsiteY2" fmla="*/ 495300 h 495300"/>
            <a:gd name="connsiteX3" fmla="*/ 0 w 1882140"/>
            <a:gd name="connsiteY3" fmla="*/ 487680 h 495300"/>
            <a:gd name="connsiteX4" fmla="*/ 381000 w 1882140"/>
            <a:gd name="connsiteY4" fmla="*/ 0 h 495300"/>
            <a:gd name="connsiteX0" fmla="*/ 381000 w 1882140"/>
            <a:gd name="connsiteY0" fmla="*/ 0 h 533400"/>
            <a:gd name="connsiteX1" fmla="*/ 1882140 w 1882140"/>
            <a:gd name="connsiteY1" fmla="*/ 76200 h 533400"/>
            <a:gd name="connsiteX2" fmla="*/ 1874520 w 1882140"/>
            <a:gd name="connsiteY2" fmla="*/ 533400 h 533400"/>
            <a:gd name="connsiteX3" fmla="*/ 0 w 1882140"/>
            <a:gd name="connsiteY3" fmla="*/ 487680 h 533400"/>
            <a:gd name="connsiteX4" fmla="*/ 381000 w 1882140"/>
            <a:gd name="connsiteY4" fmla="*/ 0 h 53340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289560 w 1790700"/>
            <a:gd name="connsiteY0" fmla="*/ 0 h 541020"/>
            <a:gd name="connsiteX1" fmla="*/ 429260 w 1790700"/>
            <a:gd name="connsiteY1" fmla="*/ 40640 h 541020"/>
            <a:gd name="connsiteX2" fmla="*/ 1790700 w 1790700"/>
            <a:gd name="connsiteY2" fmla="*/ 76200 h 541020"/>
            <a:gd name="connsiteX3" fmla="*/ 1783080 w 1790700"/>
            <a:gd name="connsiteY3" fmla="*/ 533400 h 541020"/>
            <a:gd name="connsiteX4" fmla="*/ 0 w 1790700"/>
            <a:gd name="connsiteY4" fmla="*/ 541020 h 541020"/>
            <a:gd name="connsiteX5" fmla="*/ 289560 w 1790700"/>
            <a:gd name="connsiteY5" fmla="*/ 0 h 541020"/>
            <a:gd name="connsiteX0" fmla="*/ 289560 w 1790700"/>
            <a:gd name="connsiteY0" fmla="*/ 34560 h 575580"/>
            <a:gd name="connsiteX1" fmla="*/ 1790700 w 1790700"/>
            <a:gd name="connsiteY1" fmla="*/ 110760 h 575580"/>
            <a:gd name="connsiteX2" fmla="*/ 1783080 w 1790700"/>
            <a:gd name="connsiteY2" fmla="*/ 567960 h 575580"/>
            <a:gd name="connsiteX3" fmla="*/ 0 w 1790700"/>
            <a:gd name="connsiteY3" fmla="*/ 575580 h 575580"/>
            <a:gd name="connsiteX4" fmla="*/ 289560 w 1790700"/>
            <a:gd name="connsiteY4" fmla="*/ 34560 h 57558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365760 w 1790700"/>
            <a:gd name="connsiteY0" fmla="*/ 0 h 495300"/>
            <a:gd name="connsiteX1" fmla="*/ 1790700 w 1790700"/>
            <a:gd name="connsiteY1" fmla="*/ 30480 h 495300"/>
            <a:gd name="connsiteX2" fmla="*/ 1783080 w 1790700"/>
            <a:gd name="connsiteY2" fmla="*/ 487680 h 495300"/>
            <a:gd name="connsiteX3" fmla="*/ 0 w 1790700"/>
            <a:gd name="connsiteY3" fmla="*/ 495300 h 495300"/>
            <a:gd name="connsiteX4" fmla="*/ 365760 w 1790700"/>
            <a:gd name="connsiteY4" fmla="*/ 0 h 495300"/>
            <a:gd name="connsiteX0" fmla="*/ 365760 w 1965960"/>
            <a:gd name="connsiteY0" fmla="*/ 0 h 495300"/>
            <a:gd name="connsiteX1" fmla="*/ 1965960 w 1965960"/>
            <a:gd name="connsiteY1" fmla="*/ 0 h 495300"/>
            <a:gd name="connsiteX2" fmla="*/ 1783080 w 1965960"/>
            <a:gd name="connsiteY2" fmla="*/ 487680 h 495300"/>
            <a:gd name="connsiteX3" fmla="*/ 0 w 1965960"/>
            <a:gd name="connsiteY3" fmla="*/ 495300 h 495300"/>
            <a:gd name="connsiteX4" fmla="*/ 365760 w 1965960"/>
            <a:gd name="connsiteY4" fmla="*/ 0 h 495300"/>
            <a:gd name="connsiteX0" fmla="*/ 556260 w 1965960"/>
            <a:gd name="connsiteY0" fmla="*/ 0 h 502920"/>
            <a:gd name="connsiteX1" fmla="*/ 1965960 w 1965960"/>
            <a:gd name="connsiteY1" fmla="*/ 7620 h 502920"/>
            <a:gd name="connsiteX2" fmla="*/ 1783080 w 1965960"/>
            <a:gd name="connsiteY2" fmla="*/ 495300 h 502920"/>
            <a:gd name="connsiteX3" fmla="*/ 0 w 1965960"/>
            <a:gd name="connsiteY3" fmla="*/ 502920 h 502920"/>
            <a:gd name="connsiteX4" fmla="*/ 556260 w 1965960"/>
            <a:gd name="connsiteY4" fmla="*/ 0 h 502920"/>
            <a:gd name="connsiteX0" fmla="*/ 533400 w 1943100"/>
            <a:gd name="connsiteY0" fmla="*/ 0 h 495300"/>
            <a:gd name="connsiteX1" fmla="*/ 1943100 w 1943100"/>
            <a:gd name="connsiteY1" fmla="*/ 7620 h 495300"/>
            <a:gd name="connsiteX2" fmla="*/ 1760220 w 1943100"/>
            <a:gd name="connsiteY2" fmla="*/ 495300 h 495300"/>
            <a:gd name="connsiteX3" fmla="*/ 0 w 1943100"/>
            <a:gd name="connsiteY3" fmla="*/ 426720 h 495300"/>
            <a:gd name="connsiteX4" fmla="*/ 533400 w 1943100"/>
            <a:gd name="connsiteY4" fmla="*/ 0 h 495300"/>
            <a:gd name="connsiteX0" fmla="*/ 533400 w 1958340"/>
            <a:gd name="connsiteY0" fmla="*/ 0 h 434340"/>
            <a:gd name="connsiteX1" fmla="*/ 1943100 w 1958340"/>
            <a:gd name="connsiteY1" fmla="*/ 7620 h 434340"/>
            <a:gd name="connsiteX2" fmla="*/ 1958340 w 1958340"/>
            <a:gd name="connsiteY2" fmla="*/ 434340 h 434340"/>
            <a:gd name="connsiteX3" fmla="*/ 0 w 1958340"/>
            <a:gd name="connsiteY3" fmla="*/ 426720 h 434340"/>
            <a:gd name="connsiteX4" fmla="*/ 533400 w 1958340"/>
            <a:gd name="connsiteY4" fmla="*/ 0 h 434340"/>
            <a:gd name="connsiteX0" fmla="*/ 571500 w 1996440"/>
            <a:gd name="connsiteY0" fmla="*/ 0 h 434340"/>
            <a:gd name="connsiteX1" fmla="*/ 1981200 w 1996440"/>
            <a:gd name="connsiteY1" fmla="*/ 7620 h 434340"/>
            <a:gd name="connsiteX2" fmla="*/ 1996440 w 1996440"/>
            <a:gd name="connsiteY2" fmla="*/ 434340 h 434340"/>
            <a:gd name="connsiteX3" fmla="*/ 0 w 1996440"/>
            <a:gd name="connsiteY3" fmla="*/ 426720 h 434340"/>
            <a:gd name="connsiteX4" fmla="*/ 571500 w 1996440"/>
            <a:gd name="connsiteY4" fmla="*/ 0 h 434340"/>
            <a:gd name="connsiteX0" fmla="*/ 297180 w 1996440"/>
            <a:gd name="connsiteY0" fmla="*/ 0 h 434340"/>
            <a:gd name="connsiteX1" fmla="*/ 1981200 w 1996440"/>
            <a:gd name="connsiteY1" fmla="*/ 7620 h 434340"/>
            <a:gd name="connsiteX2" fmla="*/ 1996440 w 1996440"/>
            <a:gd name="connsiteY2" fmla="*/ 434340 h 434340"/>
            <a:gd name="connsiteX3" fmla="*/ 0 w 1996440"/>
            <a:gd name="connsiteY3" fmla="*/ 426720 h 434340"/>
            <a:gd name="connsiteX4" fmla="*/ 297180 w 1996440"/>
            <a:gd name="connsiteY4" fmla="*/ 0 h 4343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96440" h="434340">
              <a:moveTo>
                <a:pt x="297180" y="0"/>
              </a:moveTo>
              <a:lnTo>
                <a:pt x="1981200" y="7620"/>
              </a:lnTo>
              <a:lnTo>
                <a:pt x="1996440" y="434340"/>
              </a:lnTo>
              <a:lnTo>
                <a:pt x="0" y="426720"/>
              </a:lnTo>
              <a:lnTo>
                <a:pt x="297180" y="0"/>
              </a:lnTo>
              <a:close/>
            </a:path>
          </a:pathLst>
        </a:custGeom>
        <a:solidFill>
          <a:srgbClr val="A6A6A6">
            <a:alpha val="25000"/>
          </a:srgbClr>
        </a:solidFill>
        <a:ln w="9525" cap="flat" cmpd="sng" algn="ctr">
          <a:noFill/>
          <a:prstDash val="solid"/>
          <a:round/>
          <a:headEnd type="none" w="med" len="med"/>
          <a:tailEnd type="none" w="med" len="med"/>
        </a:ln>
        <a:effectLst/>
      </xdr:spPr>
      <xdr:txBody>
        <a:bodyPr rot="0" spcFirstLastPara="0" vert="horz" wrap="square" lIns="18288" tIns="0" rIns="0" bIns="0" numCol="1" spcCol="0" rtlCol="0" fromWordArt="0" anchor="t"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572330</xdr:colOff>
      <xdr:row>25</xdr:row>
      <xdr:rowOff>129196</xdr:rowOff>
    </xdr:from>
    <xdr:to>
      <xdr:col>12</xdr:col>
      <xdr:colOff>2013721</xdr:colOff>
      <xdr:row>47</xdr:row>
      <xdr:rowOff>121893</xdr:rowOff>
    </xdr:to>
    <xdr:sp macro="" textlink="">
      <xdr:nvSpPr>
        <xdr:cNvPr id="3" name="Freeform 2">
          <a:extLst>
            <a:ext uri="{FF2B5EF4-FFF2-40B4-BE49-F238E27FC236}">
              <a16:creationId xmlns:a16="http://schemas.microsoft.com/office/drawing/2014/main" id="{00000000-0008-0000-1000-000003000000}"/>
            </a:ext>
          </a:extLst>
        </xdr:cNvPr>
        <xdr:cNvSpPr>
          <a:spLocks/>
        </xdr:cNvSpPr>
      </xdr:nvSpPr>
      <xdr:spPr bwMode="auto">
        <a:xfrm>
          <a:off x="4315655" y="4777396"/>
          <a:ext cx="3603566" cy="3812222"/>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0 w 10000"/>
            <a:gd name="connsiteY0" fmla="*/ 9974 h 10000"/>
            <a:gd name="connsiteX1" fmla="*/ 0 w 10000"/>
            <a:gd name="connsiteY1" fmla="*/ 5692 h 10000"/>
            <a:gd name="connsiteX2" fmla="*/ 6044 w 10000"/>
            <a:gd name="connsiteY2" fmla="*/ 332 h 10000"/>
            <a:gd name="connsiteX3" fmla="*/ 9921 w 10000"/>
            <a:gd name="connsiteY3" fmla="*/ 0 h 10000"/>
            <a:gd name="connsiteX4" fmla="*/ 10000 w 10000"/>
            <a:gd name="connsiteY4" fmla="*/ 10000 h 10000"/>
            <a:gd name="connsiteX0" fmla="*/ 0 w 10000"/>
            <a:gd name="connsiteY0" fmla="*/ 9642 h 9668"/>
            <a:gd name="connsiteX1" fmla="*/ 0 w 10000"/>
            <a:gd name="connsiteY1" fmla="*/ 5360 h 9668"/>
            <a:gd name="connsiteX2" fmla="*/ 6044 w 10000"/>
            <a:gd name="connsiteY2" fmla="*/ 0 h 9668"/>
            <a:gd name="connsiteX3" fmla="*/ 9921 w 10000"/>
            <a:gd name="connsiteY3" fmla="*/ 31 h 9668"/>
            <a:gd name="connsiteX4" fmla="*/ 10000 w 10000"/>
            <a:gd name="connsiteY4" fmla="*/ 9668 h 9668"/>
            <a:gd name="connsiteX0" fmla="*/ 0 w 10000"/>
            <a:gd name="connsiteY0" fmla="*/ 9973 h 10000"/>
            <a:gd name="connsiteX1" fmla="*/ 0 w 10000"/>
            <a:gd name="connsiteY1" fmla="*/ 7087 h 10000"/>
            <a:gd name="connsiteX2" fmla="*/ 6044 w 10000"/>
            <a:gd name="connsiteY2" fmla="*/ 0 h 10000"/>
            <a:gd name="connsiteX3" fmla="*/ 9921 w 10000"/>
            <a:gd name="connsiteY3" fmla="*/ 32 h 10000"/>
            <a:gd name="connsiteX4" fmla="*/ 10000 w 10000"/>
            <a:gd name="connsiteY4" fmla="*/ 10000 h 10000"/>
            <a:gd name="connsiteX0" fmla="*/ 0 w 10000"/>
            <a:gd name="connsiteY0" fmla="*/ 9973 h 10000"/>
            <a:gd name="connsiteX1" fmla="*/ 0 w 10000"/>
            <a:gd name="connsiteY1" fmla="*/ 7087 h 10000"/>
            <a:gd name="connsiteX2" fmla="*/ 3251 w 10000"/>
            <a:gd name="connsiteY2" fmla="*/ 3310 h 10000"/>
            <a:gd name="connsiteX3" fmla="*/ 6044 w 10000"/>
            <a:gd name="connsiteY3" fmla="*/ 0 h 10000"/>
            <a:gd name="connsiteX4" fmla="*/ 9921 w 10000"/>
            <a:gd name="connsiteY4" fmla="*/ 32 h 10000"/>
            <a:gd name="connsiteX5" fmla="*/ 10000 w 10000"/>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47 w 10021"/>
            <a:gd name="connsiteY2" fmla="*/ 2895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06 w 10021"/>
            <a:gd name="connsiteY2" fmla="*/ 3033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81 h 10008"/>
            <a:gd name="connsiteX1" fmla="*/ 0 w 10021"/>
            <a:gd name="connsiteY1" fmla="*/ 6482 h 10008"/>
            <a:gd name="connsiteX2" fmla="*/ 1906 w 10021"/>
            <a:gd name="connsiteY2" fmla="*/ 3041 h 10008"/>
            <a:gd name="connsiteX3" fmla="*/ 6065 w 10021"/>
            <a:gd name="connsiteY3" fmla="*/ 8 h 10008"/>
            <a:gd name="connsiteX4" fmla="*/ 9942 w 10021"/>
            <a:gd name="connsiteY4" fmla="*/ 0 h 10008"/>
            <a:gd name="connsiteX5" fmla="*/ 10021 w 10021"/>
            <a:gd name="connsiteY5" fmla="*/ 10008 h 10008"/>
            <a:gd name="connsiteX0" fmla="*/ 21 w 9946"/>
            <a:gd name="connsiteY0" fmla="*/ 9981 h 9981"/>
            <a:gd name="connsiteX1" fmla="*/ 0 w 9946"/>
            <a:gd name="connsiteY1" fmla="*/ 6482 h 9981"/>
            <a:gd name="connsiteX2" fmla="*/ 1906 w 9946"/>
            <a:gd name="connsiteY2" fmla="*/ 3041 h 9981"/>
            <a:gd name="connsiteX3" fmla="*/ 6065 w 9946"/>
            <a:gd name="connsiteY3" fmla="*/ 8 h 9981"/>
            <a:gd name="connsiteX4" fmla="*/ 9942 w 9946"/>
            <a:gd name="connsiteY4" fmla="*/ 0 h 9981"/>
            <a:gd name="connsiteX5" fmla="*/ 9894 w 9946"/>
            <a:gd name="connsiteY5" fmla="*/ 9953 h 9981"/>
            <a:gd name="connsiteX0" fmla="*/ 21 w 9967"/>
            <a:gd name="connsiteY0" fmla="*/ 10000 h 10000"/>
            <a:gd name="connsiteX1" fmla="*/ 0 w 9967"/>
            <a:gd name="connsiteY1" fmla="*/ 6494 h 10000"/>
            <a:gd name="connsiteX2" fmla="*/ 1916 w 9967"/>
            <a:gd name="connsiteY2" fmla="*/ 3047 h 10000"/>
            <a:gd name="connsiteX3" fmla="*/ 6098 w 9967"/>
            <a:gd name="connsiteY3" fmla="*/ 8 h 10000"/>
            <a:gd name="connsiteX4" fmla="*/ 9961 w 9967"/>
            <a:gd name="connsiteY4" fmla="*/ 0 h 10000"/>
            <a:gd name="connsiteX5" fmla="*/ 9948 w 9967"/>
            <a:gd name="connsiteY5" fmla="*/ 9972 h 10000"/>
            <a:gd name="connsiteX0" fmla="*/ 21 w 10000"/>
            <a:gd name="connsiteY0" fmla="*/ 10025 h 10025"/>
            <a:gd name="connsiteX1" fmla="*/ 0 w 10000"/>
            <a:gd name="connsiteY1" fmla="*/ 6519 h 10025"/>
            <a:gd name="connsiteX2" fmla="*/ 1922 w 10000"/>
            <a:gd name="connsiteY2" fmla="*/ 3072 h 10025"/>
            <a:gd name="connsiteX3" fmla="*/ 6130 w 10000"/>
            <a:gd name="connsiteY3" fmla="*/ 0 h 10025"/>
            <a:gd name="connsiteX4" fmla="*/ 9994 w 10000"/>
            <a:gd name="connsiteY4" fmla="*/ 25 h 10025"/>
            <a:gd name="connsiteX5" fmla="*/ 9981 w 10000"/>
            <a:gd name="connsiteY5" fmla="*/ 9997 h 10025"/>
            <a:gd name="connsiteX0" fmla="*/ 21 w 10000"/>
            <a:gd name="connsiteY0" fmla="*/ 10025 h 10025"/>
            <a:gd name="connsiteX1" fmla="*/ 0 w 10000"/>
            <a:gd name="connsiteY1" fmla="*/ 6519 h 10025"/>
            <a:gd name="connsiteX2" fmla="*/ 1899 w 10000"/>
            <a:gd name="connsiteY2" fmla="*/ 3072 h 10025"/>
            <a:gd name="connsiteX3" fmla="*/ 6130 w 10000"/>
            <a:gd name="connsiteY3" fmla="*/ 0 h 10025"/>
            <a:gd name="connsiteX4" fmla="*/ 9994 w 10000"/>
            <a:gd name="connsiteY4" fmla="*/ 25 h 10025"/>
            <a:gd name="connsiteX5" fmla="*/ 9981 w 10000"/>
            <a:gd name="connsiteY5" fmla="*/ 9997 h 10025"/>
            <a:gd name="connsiteX0" fmla="*/ 102 w 10081"/>
            <a:gd name="connsiteY0" fmla="*/ 10025 h 10025"/>
            <a:gd name="connsiteX1" fmla="*/ 0 w 10081"/>
            <a:gd name="connsiteY1" fmla="*/ 6541 h 10025"/>
            <a:gd name="connsiteX2" fmla="*/ 1980 w 10081"/>
            <a:gd name="connsiteY2" fmla="*/ 3072 h 10025"/>
            <a:gd name="connsiteX3" fmla="*/ 6211 w 10081"/>
            <a:gd name="connsiteY3" fmla="*/ 0 h 10025"/>
            <a:gd name="connsiteX4" fmla="*/ 10075 w 10081"/>
            <a:gd name="connsiteY4" fmla="*/ 25 h 10025"/>
            <a:gd name="connsiteX5" fmla="*/ 10062 w 10081"/>
            <a:gd name="connsiteY5" fmla="*/ 9997 h 10025"/>
            <a:gd name="connsiteX0" fmla="*/ 32 w 10081"/>
            <a:gd name="connsiteY0" fmla="*/ 10047 h 10047"/>
            <a:gd name="connsiteX1" fmla="*/ 0 w 10081"/>
            <a:gd name="connsiteY1" fmla="*/ 6541 h 10047"/>
            <a:gd name="connsiteX2" fmla="*/ 1980 w 10081"/>
            <a:gd name="connsiteY2" fmla="*/ 3072 h 10047"/>
            <a:gd name="connsiteX3" fmla="*/ 6211 w 10081"/>
            <a:gd name="connsiteY3" fmla="*/ 0 h 10047"/>
            <a:gd name="connsiteX4" fmla="*/ 10075 w 10081"/>
            <a:gd name="connsiteY4" fmla="*/ 25 h 10047"/>
            <a:gd name="connsiteX5" fmla="*/ 10062 w 10081"/>
            <a:gd name="connsiteY5" fmla="*/ 9997 h 10047"/>
            <a:gd name="connsiteX0" fmla="*/ 32 w 10070"/>
            <a:gd name="connsiteY0" fmla="*/ 10047 h 10047"/>
            <a:gd name="connsiteX1" fmla="*/ 0 w 10070"/>
            <a:gd name="connsiteY1" fmla="*/ 6541 h 10047"/>
            <a:gd name="connsiteX2" fmla="*/ 1980 w 10070"/>
            <a:gd name="connsiteY2" fmla="*/ 3072 h 10047"/>
            <a:gd name="connsiteX3" fmla="*/ 6211 w 10070"/>
            <a:gd name="connsiteY3" fmla="*/ 0 h 10047"/>
            <a:gd name="connsiteX4" fmla="*/ 10063 w 10070"/>
            <a:gd name="connsiteY4" fmla="*/ 14 h 10047"/>
            <a:gd name="connsiteX5" fmla="*/ 10062 w 10070"/>
            <a:gd name="connsiteY5" fmla="*/ 9997 h 100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70" h="10047">
              <a:moveTo>
                <a:pt x="32" y="10047"/>
              </a:moveTo>
              <a:cubicBezTo>
                <a:pt x="25" y="8879"/>
                <a:pt x="7" y="7710"/>
                <a:pt x="0" y="6541"/>
              </a:cubicBezTo>
              <a:lnTo>
                <a:pt x="1980" y="3072"/>
              </a:lnTo>
              <a:lnTo>
                <a:pt x="6211" y="0"/>
              </a:lnTo>
              <a:lnTo>
                <a:pt x="10063" y="14"/>
              </a:lnTo>
              <a:cubicBezTo>
                <a:pt x="10089" y="3469"/>
                <a:pt x="10036" y="6543"/>
                <a:pt x="10062" y="9997"/>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27</xdr:row>
      <xdr:rowOff>60960</xdr:rowOff>
    </xdr:to>
    <xdr:sp macro="" textlink="">
      <xdr:nvSpPr>
        <xdr:cNvPr id="4" name="Text Box 3">
          <a:extLst>
            <a:ext uri="{FF2B5EF4-FFF2-40B4-BE49-F238E27FC236}">
              <a16:creationId xmlns:a16="http://schemas.microsoft.com/office/drawing/2014/main" id="{00000000-0008-0000-1000-000004000000}"/>
            </a:ext>
          </a:extLst>
        </xdr:cNvPr>
        <xdr:cNvSpPr txBox="1">
          <a:spLocks noChangeArrowheads="1"/>
        </xdr:cNvSpPr>
      </xdr:nvSpPr>
      <xdr:spPr bwMode="auto">
        <a:xfrm>
          <a:off x="4095750" y="4505325"/>
          <a:ext cx="1104900" cy="537210"/>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C182T (230 HP)</a:t>
          </a:r>
        </a:p>
        <a:p>
          <a:pPr algn="ctr" rtl="0">
            <a:defRPr sz="1000"/>
          </a:pPr>
          <a:r>
            <a:rPr lang="en-US" sz="800" b="0" i="1" u="none" strike="noStrike" baseline="0">
              <a:solidFill>
                <a:srgbClr val="FF0000"/>
              </a:solidFill>
              <a:latin typeface="Arial"/>
              <a:cs typeface="Arial"/>
            </a:rPr>
            <a:t>Dashed red line is LANDING weight limit.</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1000-000005000000}"/>
            </a:ext>
          </a:extLst>
        </xdr:cNvPr>
        <xdr:cNvGrpSpPr>
          <a:grpSpLocks/>
        </xdr:cNvGrpSpPr>
      </xdr:nvGrpSpPr>
      <xdr:grpSpPr bwMode="auto">
        <a:xfrm>
          <a:off x="1028700" y="990600"/>
          <a:ext cx="1152525" cy="1476375"/>
          <a:chOff x="108" y="43"/>
          <a:chExt cx="121" cy="163"/>
        </a:xfrm>
      </xdr:grpSpPr>
      <xdr:sp macro="" textlink="">
        <xdr:nvSpPr>
          <xdr:cNvPr id="6" name="Freeform 10">
            <a:extLst>
              <a:ext uri="{FF2B5EF4-FFF2-40B4-BE49-F238E27FC236}">
                <a16:creationId xmlns:a16="http://schemas.microsoft.com/office/drawing/2014/main" id="{00000000-0008-0000-10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10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1000-000008000000}"/>
            </a:ext>
          </a:extLst>
        </xdr:cNvPr>
        <xdr:cNvSpPr txBox="1">
          <a:spLocks noChangeArrowheads="1"/>
        </xdr:cNvSpPr>
      </xdr:nvSpPr>
      <xdr:spPr bwMode="auto">
        <a:xfrm>
          <a:off x="3438525" y="553402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1000-000009000000}"/>
            </a:ext>
          </a:extLst>
        </xdr:cNvPr>
        <xdr:cNvSpPr txBox="1">
          <a:spLocks noChangeArrowheads="1"/>
        </xdr:cNvSpPr>
      </xdr:nvSpPr>
      <xdr:spPr bwMode="auto">
        <a:xfrm>
          <a:off x="5657850" y="4038600"/>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10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9525" y="34290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1000-00000B000000}"/>
            </a:ext>
          </a:extLst>
        </xdr:cNvPr>
        <xdr:cNvSpPr>
          <a:spLocks/>
        </xdr:cNvSpPr>
      </xdr:nvSpPr>
      <xdr:spPr bwMode="auto">
        <a:xfrm>
          <a:off x="16954500" y="1524000"/>
          <a:ext cx="110490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1000-00000C000000}"/>
            </a:ext>
          </a:extLst>
        </xdr:cNvPr>
        <xdr:cNvSpPr>
          <a:spLocks/>
        </xdr:cNvSpPr>
      </xdr:nvSpPr>
      <xdr:spPr bwMode="auto">
        <a:xfrm>
          <a:off x="20002500" y="1581150"/>
          <a:ext cx="115252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6476 w 1247775"/>
            <a:gd name="connsiteY2" fmla="*/ 256982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42487 w 1247775"/>
            <a:gd name="connsiteY2" fmla="*/ 207143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42487" y="207143"/>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12</xdr:col>
      <xdr:colOff>38100</xdr:colOff>
      <xdr:row>28</xdr:row>
      <xdr:rowOff>22858</xdr:rowOff>
    </xdr:from>
    <xdr:to>
      <xdr:col>12</xdr:col>
      <xdr:colOff>2057400</xdr:colOff>
      <xdr:row>28</xdr:row>
      <xdr:rowOff>83819</xdr:rowOff>
    </xdr:to>
    <xdr:sp macro="" textlink="">
      <xdr:nvSpPr>
        <xdr:cNvPr id="13" name="Freeform 12">
          <a:extLst>
            <a:ext uri="{FF2B5EF4-FFF2-40B4-BE49-F238E27FC236}">
              <a16:creationId xmlns:a16="http://schemas.microsoft.com/office/drawing/2014/main" id="{00000000-0008-0000-1000-00000D000000}"/>
            </a:ext>
          </a:extLst>
        </xdr:cNvPr>
        <xdr:cNvSpPr/>
      </xdr:nvSpPr>
      <xdr:spPr bwMode="auto">
        <a:xfrm flipV="1">
          <a:off x="5943600" y="5175883"/>
          <a:ext cx="2019300" cy="60961"/>
        </a:xfrm>
        <a:custGeom>
          <a:avLst/>
          <a:gdLst>
            <a:gd name="connsiteX0" fmla="*/ 0 w 1813560"/>
            <a:gd name="connsiteY0" fmla="*/ 0 h 0"/>
            <a:gd name="connsiteX1" fmla="*/ 1813560 w 1813560"/>
            <a:gd name="connsiteY1" fmla="*/ 0 h 0"/>
          </a:gdLst>
          <a:ahLst/>
          <a:cxnLst>
            <a:cxn ang="0">
              <a:pos x="connsiteX0" y="connsiteY0"/>
            </a:cxn>
            <a:cxn ang="0">
              <a:pos x="connsiteX1" y="connsiteY1"/>
            </a:cxn>
          </a:cxnLst>
          <a:rect l="l" t="t" r="r" b="b"/>
          <a:pathLst>
            <a:path w="1813560">
              <a:moveTo>
                <a:pt x="0" y="0"/>
              </a:moveTo>
              <a:lnTo>
                <a:pt x="1813560" y="0"/>
              </a:lnTo>
            </a:path>
          </a:pathLst>
        </a:custGeom>
        <a:noFill/>
        <a:ln w="19050" cap="flat" cmpd="sng" algn="ctr">
          <a:solidFill>
            <a:srgbClr val="FF0000"/>
          </a:solidFill>
          <a:prstDash val="dash"/>
          <a:round/>
          <a:headEnd type="none" w="med" len="med"/>
          <a:tailEnd type="none" w="med" len="med"/>
        </a:ln>
        <a:effectLst/>
      </xdr:spPr>
      <xdr:txBody>
        <a:bodyPr vertOverflow="clip" horzOverflow="clip" wrap="square" lIns="18288" tIns="0" rIns="0" bIns="0" rtlCol="0" anchor="t" upright="1">
          <a:spAutoFit/>
        </a:bodyPr>
        <a:lstStyle/>
        <a:p>
          <a:pPr algn="l"/>
          <a:endParaRPr lang="en-US" sz="1100"/>
        </a:p>
      </xdr:txBody>
    </xdr:sp>
    <xdr:clientData/>
  </xdr:twoCellAnchor>
  <xdr:twoCellAnchor>
    <xdr:from>
      <xdr:col>26</xdr:col>
      <xdr:colOff>38100</xdr:colOff>
      <xdr:row>9</xdr:row>
      <xdr:rowOff>91440</xdr:rowOff>
    </xdr:from>
    <xdr:to>
      <xdr:col>26</xdr:col>
      <xdr:colOff>167640</xdr:colOff>
      <xdr:row>9</xdr:row>
      <xdr:rowOff>114300</xdr:rowOff>
    </xdr:to>
    <xdr:sp macro="" textlink="">
      <xdr:nvSpPr>
        <xdr:cNvPr id="14" name="Freeform 13">
          <a:extLst>
            <a:ext uri="{FF2B5EF4-FFF2-40B4-BE49-F238E27FC236}">
              <a16:creationId xmlns:a16="http://schemas.microsoft.com/office/drawing/2014/main" id="{00000000-0008-0000-1000-00000E000000}"/>
            </a:ext>
          </a:extLst>
        </xdr:cNvPr>
        <xdr:cNvSpPr/>
      </xdr:nvSpPr>
      <xdr:spPr bwMode="auto">
        <a:xfrm>
          <a:off x="16935450" y="1796415"/>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30480</xdr:colOff>
      <xdr:row>9</xdr:row>
      <xdr:rowOff>106680</xdr:rowOff>
    </xdr:from>
    <xdr:to>
      <xdr:col>31</xdr:col>
      <xdr:colOff>160020</xdr:colOff>
      <xdr:row>9</xdr:row>
      <xdr:rowOff>129540</xdr:rowOff>
    </xdr:to>
    <xdr:sp macro="" textlink="">
      <xdr:nvSpPr>
        <xdr:cNvPr id="15" name="Freeform 14">
          <a:extLst>
            <a:ext uri="{FF2B5EF4-FFF2-40B4-BE49-F238E27FC236}">
              <a16:creationId xmlns:a16="http://schemas.microsoft.com/office/drawing/2014/main" id="{00000000-0008-0000-1000-00000F000000}"/>
            </a:ext>
          </a:extLst>
        </xdr:cNvPr>
        <xdr:cNvSpPr/>
      </xdr:nvSpPr>
      <xdr:spPr bwMode="auto">
        <a:xfrm>
          <a:off x="19975830" y="1811655"/>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64770</xdr:colOff>
      <xdr:row>32</xdr:row>
      <xdr:rowOff>9525</xdr:rowOff>
    </xdr:from>
    <xdr:to>
      <xdr:col>27</xdr:col>
      <xdr:colOff>560070</xdr:colOff>
      <xdr:row>40</xdr:row>
      <xdr:rowOff>32385</xdr:rowOff>
    </xdr:to>
    <xdr:sp macro="" textlink="">
      <xdr:nvSpPr>
        <xdr:cNvPr id="16" name="Freeform 26">
          <a:extLst>
            <a:ext uri="{FF2B5EF4-FFF2-40B4-BE49-F238E27FC236}">
              <a16:creationId xmlns:a16="http://schemas.microsoft.com/office/drawing/2014/main" id="{00000000-0008-0000-1000-000010000000}"/>
            </a:ext>
          </a:extLst>
        </xdr:cNvPr>
        <xdr:cNvSpPr>
          <a:spLocks/>
        </xdr:cNvSpPr>
      </xdr:nvSpPr>
      <xdr:spPr bwMode="auto">
        <a:xfrm>
          <a:off x="16962120" y="5905500"/>
          <a:ext cx="1104900" cy="137541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26670</xdr:colOff>
      <xdr:row>32</xdr:row>
      <xdr:rowOff>40005</xdr:rowOff>
    </xdr:from>
    <xdr:to>
      <xdr:col>32</xdr:col>
      <xdr:colOff>521970</xdr:colOff>
      <xdr:row>40</xdr:row>
      <xdr:rowOff>62865</xdr:rowOff>
    </xdr:to>
    <xdr:sp macro="" textlink="">
      <xdr:nvSpPr>
        <xdr:cNvPr id="17" name="Freeform 26">
          <a:extLst>
            <a:ext uri="{FF2B5EF4-FFF2-40B4-BE49-F238E27FC236}">
              <a16:creationId xmlns:a16="http://schemas.microsoft.com/office/drawing/2014/main" id="{00000000-0008-0000-1000-000011000000}"/>
            </a:ext>
          </a:extLst>
        </xdr:cNvPr>
        <xdr:cNvSpPr>
          <a:spLocks/>
        </xdr:cNvSpPr>
      </xdr:nvSpPr>
      <xdr:spPr bwMode="auto">
        <a:xfrm>
          <a:off x="19972020" y="5935980"/>
          <a:ext cx="1104900" cy="137541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38100</xdr:colOff>
      <xdr:row>33</xdr:row>
      <xdr:rowOff>121920</xdr:rowOff>
    </xdr:from>
    <xdr:to>
      <xdr:col>26</xdr:col>
      <xdr:colOff>167640</xdr:colOff>
      <xdr:row>33</xdr:row>
      <xdr:rowOff>144780</xdr:rowOff>
    </xdr:to>
    <xdr:sp macro="" textlink="">
      <xdr:nvSpPr>
        <xdr:cNvPr id="18" name="Freeform 17">
          <a:extLst>
            <a:ext uri="{FF2B5EF4-FFF2-40B4-BE49-F238E27FC236}">
              <a16:creationId xmlns:a16="http://schemas.microsoft.com/office/drawing/2014/main" id="{00000000-0008-0000-1000-000012000000}"/>
            </a:ext>
          </a:extLst>
        </xdr:cNvPr>
        <xdr:cNvSpPr/>
      </xdr:nvSpPr>
      <xdr:spPr bwMode="auto">
        <a:xfrm>
          <a:off x="16935450" y="617982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38100</xdr:colOff>
      <xdr:row>59</xdr:row>
      <xdr:rowOff>38100</xdr:rowOff>
    </xdr:from>
    <xdr:to>
      <xdr:col>26</xdr:col>
      <xdr:colOff>167640</xdr:colOff>
      <xdr:row>59</xdr:row>
      <xdr:rowOff>60960</xdr:rowOff>
    </xdr:to>
    <xdr:sp macro="" textlink="">
      <xdr:nvSpPr>
        <xdr:cNvPr id="19" name="Freeform 18">
          <a:extLst>
            <a:ext uri="{FF2B5EF4-FFF2-40B4-BE49-F238E27FC236}">
              <a16:creationId xmlns:a16="http://schemas.microsoft.com/office/drawing/2014/main" id="{00000000-0008-0000-1000-000013000000}"/>
            </a:ext>
          </a:extLst>
        </xdr:cNvPr>
        <xdr:cNvSpPr/>
      </xdr:nvSpPr>
      <xdr:spPr bwMode="auto">
        <a:xfrm>
          <a:off x="16935450" y="10487025"/>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0</xdr:colOff>
      <xdr:row>33</xdr:row>
      <xdr:rowOff>114300</xdr:rowOff>
    </xdr:from>
    <xdr:to>
      <xdr:col>31</xdr:col>
      <xdr:colOff>129540</xdr:colOff>
      <xdr:row>33</xdr:row>
      <xdr:rowOff>137160</xdr:rowOff>
    </xdr:to>
    <xdr:sp macro="" textlink="">
      <xdr:nvSpPr>
        <xdr:cNvPr id="20" name="Freeform 19">
          <a:extLst>
            <a:ext uri="{FF2B5EF4-FFF2-40B4-BE49-F238E27FC236}">
              <a16:creationId xmlns:a16="http://schemas.microsoft.com/office/drawing/2014/main" id="{00000000-0008-0000-1000-000014000000}"/>
            </a:ext>
          </a:extLst>
        </xdr:cNvPr>
        <xdr:cNvSpPr/>
      </xdr:nvSpPr>
      <xdr:spPr bwMode="auto">
        <a:xfrm>
          <a:off x="19945350" y="617220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oneCellAnchor>
    <xdr:from>
      <xdr:col>1</xdr:col>
      <xdr:colOff>0</xdr:colOff>
      <xdr:row>13</xdr:row>
      <xdr:rowOff>0</xdr:rowOff>
    </xdr:from>
    <xdr:ext cx="370486" cy="180819"/>
    <xdr:sp macro="" textlink="">
      <xdr:nvSpPr>
        <xdr:cNvPr id="21" name="TextBox 20">
          <a:extLst>
            <a:ext uri="{FF2B5EF4-FFF2-40B4-BE49-F238E27FC236}">
              <a16:creationId xmlns:a16="http://schemas.microsoft.com/office/drawing/2014/main" id="{00000000-0008-0000-1000-000015000000}"/>
            </a:ext>
          </a:extLst>
        </xdr:cNvPr>
        <xdr:cNvSpPr txBox="1"/>
      </xdr:nvSpPr>
      <xdr:spPr>
        <a:xfrm>
          <a:off x="85725" y="2466975"/>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12</xdr:col>
      <xdr:colOff>68580</xdr:colOff>
      <xdr:row>25</xdr:row>
      <xdr:rowOff>152400</xdr:rowOff>
    </xdr:from>
    <xdr:to>
      <xdr:col>12</xdr:col>
      <xdr:colOff>2026920</xdr:colOff>
      <xdr:row>28</xdr:row>
      <xdr:rowOff>76200</xdr:rowOff>
    </xdr:to>
    <xdr:sp macro="" textlink="">
      <xdr:nvSpPr>
        <xdr:cNvPr id="22" name="Freeform 23">
          <a:extLst>
            <a:ext uri="{FF2B5EF4-FFF2-40B4-BE49-F238E27FC236}">
              <a16:creationId xmlns:a16="http://schemas.microsoft.com/office/drawing/2014/main" id="{00000000-0008-0000-1000-000016000000}"/>
            </a:ext>
          </a:extLst>
        </xdr:cNvPr>
        <xdr:cNvSpPr/>
      </xdr:nvSpPr>
      <xdr:spPr bwMode="auto">
        <a:xfrm>
          <a:off x="5974080" y="4800600"/>
          <a:ext cx="1958340" cy="428625"/>
        </a:xfrm>
        <a:custGeom>
          <a:avLst/>
          <a:gdLst>
            <a:gd name="connsiteX0" fmla="*/ 381000 w 1805940"/>
            <a:gd name="connsiteY0" fmla="*/ 0 h 495300"/>
            <a:gd name="connsiteX1" fmla="*/ 1798320 w 1805940"/>
            <a:gd name="connsiteY1" fmla="*/ 15240 h 495300"/>
            <a:gd name="connsiteX2" fmla="*/ 1805940 w 1805940"/>
            <a:gd name="connsiteY2" fmla="*/ 495300 h 495300"/>
            <a:gd name="connsiteX3" fmla="*/ 0 w 1805940"/>
            <a:gd name="connsiteY3" fmla="*/ 487680 h 495300"/>
            <a:gd name="connsiteX4" fmla="*/ 381000 w 1805940"/>
            <a:gd name="connsiteY4" fmla="*/ 0 h 495300"/>
            <a:gd name="connsiteX0" fmla="*/ 381000 w 1882140"/>
            <a:gd name="connsiteY0" fmla="*/ 0 h 495300"/>
            <a:gd name="connsiteX1" fmla="*/ 1882140 w 1882140"/>
            <a:gd name="connsiteY1" fmla="*/ 76200 h 495300"/>
            <a:gd name="connsiteX2" fmla="*/ 1805940 w 1882140"/>
            <a:gd name="connsiteY2" fmla="*/ 495300 h 495300"/>
            <a:gd name="connsiteX3" fmla="*/ 0 w 1882140"/>
            <a:gd name="connsiteY3" fmla="*/ 487680 h 495300"/>
            <a:gd name="connsiteX4" fmla="*/ 381000 w 1882140"/>
            <a:gd name="connsiteY4" fmla="*/ 0 h 495300"/>
            <a:gd name="connsiteX0" fmla="*/ 381000 w 1882140"/>
            <a:gd name="connsiteY0" fmla="*/ 0 h 533400"/>
            <a:gd name="connsiteX1" fmla="*/ 1882140 w 1882140"/>
            <a:gd name="connsiteY1" fmla="*/ 76200 h 533400"/>
            <a:gd name="connsiteX2" fmla="*/ 1874520 w 1882140"/>
            <a:gd name="connsiteY2" fmla="*/ 533400 h 533400"/>
            <a:gd name="connsiteX3" fmla="*/ 0 w 1882140"/>
            <a:gd name="connsiteY3" fmla="*/ 487680 h 533400"/>
            <a:gd name="connsiteX4" fmla="*/ 381000 w 1882140"/>
            <a:gd name="connsiteY4" fmla="*/ 0 h 53340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289560 w 1790700"/>
            <a:gd name="connsiteY0" fmla="*/ 0 h 541020"/>
            <a:gd name="connsiteX1" fmla="*/ 429260 w 1790700"/>
            <a:gd name="connsiteY1" fmla="*/ 40640 h 541020"/>
            <a:gd name="connsiteX2" fmla="*/ 1790700 w 1790700"/>
            <a:gd name="connsiteY2" fmla="*/ 76200 h 541020"/>
            <a:gd name="connsiteX3" fmla="*/ 1783080 w 1790700"/>
            <a:gd name="connsiteY3" fmla="*/ 533400 h 541020"/>
            <a:gd name="connsiteX4" fmla="*/ 0 w 1790700"/>
            <a:gd name="connsiteY4" fmla="*/ 541020 h 541020"/>
            <a:gd name="connsiteX5" fmla="*/ 289560 w 1790700"/>
            <a:gd name="connsiteY5" fmla="*/ 0 h 541020"/>
            <a:gd name="connsiteX0" fmla="*/ 289560 w 1790700"/>
            <a:gd name="connsiteY0" fmla="*/ 34560 h 575580"/>
            <a:gd name="connsiteX1" fmla="*/ 1790700 w 1790700"/>
            <a:gd name="connsiteY1" fmla="*/ 110760 h 575580"/>
            <a:gd name="connsiteX2" fmla="*/ 1783080 w 1790700"/>
            <a:gd name="connsiteY2" fmla="*/ 567960 h 575580"/>
            <a:gd name="connsiteX3" fmla="*/ 0 w 1790700"/>
            <a:gd name="connsiteY3" fmla="*/ 575580 h 575580"/>
            <a:gd name="connsiteX4" fmla="*/ 289560 w 1790700"/>
            <a:gd name="connsiteY4" fmla="*/ 34560 h 57558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365760 w 1790700"/>
            <a:gd name="connsiteY0" fmla="*/ 0 h 495300"/>
            <a:gd name="connsiteX1" fmla="*/ 1790700 w 1790700"/>
            <a:gd name="connsiteY1" fmla="*/ 30480 h 495300"/>
            <a:gd name="connsiteX2" fmla="*/ 1783080 w 1790700"/>
            <a:gd name="connsiteY2" fmla="*/ 487680 h 495300"/>
            <a:gd name="connsiteX3" fmla="*/ 0 w 1790700"/>
            <a:gd name="connsiteY3" fmla="*/ 495300 h 495300"/>
            <a:gd name="connsiteX4" fmla="*/ 365760 w 1790700"/>
            <a:gd name="connsiteY4" fmla="*/ 0 h 495300"/>
            <a:gd name="connsiteX0" fmla="*/ 365760 w 1965960"/>
            <a:gd name="connsiteY0" fmla="*/ 0 h 495300"/>
            <a:gd name="connsiteX1" fmla="*/ 1965960 w 1965960"/>
            <a:gd name="connsiteY1" fmla="*/ 0 h 495300"/>
            <a:gd name="connsiteX2" fmla="*/ 1783080 w 1965960"/>
            <a:gd name="connsiteY2" fmla="*/ 487680 h 495300"/>
            <a:gd name="connsiteX3" fmla="*/ 0 w 1965960"/>
            <a:gd name="connsiteY3" fmla="*/ 495300 h 495300"/>
            <a:gd name="connsiteX4" fmla="*/ 365760 w 1965960"/>
            <a:gd name="connsiteY4" fmla="*/ 0 h 495300"/>
            <a:gd name="connsiteX0" fmla="*/ 556260 w 1965960"/>
            <a:gd name="connsiteY0" fmla="*/ 0 h 502920"/>
            <a:gd name="connsiteX1" fmla="*/ 1965960 w 1965960"/>
            <a:gd name="connsiteY1" fmla="*/ 7620 h 502920"/>
            <a:gd name="connsiteX2" fmla="*/ 1783080 w 1965960"/>
            <a:gd name="connsiteY2" fmla="*/ 495300 h 502920"/>
            <a:gd name="connsiteX3" fmla="*/ 0 w 1965960"/>
            <a:gd name="connsiteY3" fmla="*/ 502920 h 502920"/>
            <a:gd name="connsiteX4" fmla="*/ 556260 w 1965960"/>
            <a:gd name="connsiteY4" fmla="*/ 0 h 502920"/>
            <a:gd name="connsiteX0" fmla="*/ 533400 w 1943100"/>
            <a:gd name="connsiteY0" fmla="*/ 0 h 495300"/>
            <a:gd name="connsiteX1" fmla="*/ 1943100 w 1943100"/>
            <a:gd name="connsiteY1" fmla="*/ 7620 h 495300"/>
            <a:gd name="connsiteX2" fmla="*/ 1760220 w 1943100"/>
            <a:gd name="connsiteY2" fmla="*/ 495300 h 495300"/>
            <a:gd name="connsiteX3" fmla="*/ 0 w 1943100"/>
            <a:gd name="connsiteY3" fmla="*/ 426720 h 495300"/>
            <a:gd name="connsiteX4" fmla="*/ 533400 w 1943100"/>
            <a:gd name="connsiteY4" fmla="*/ 0 h 495300"/>
            <a:gd name="connsiteX0" fmla="*/ 533400 w 1958340"/>
            <a:gd name="connsiteY0" fmla="*/ 0 h 434340"/>
            <a:gd name="connsiteX1" fmla="*/ 1943100 w 1958340"/>
            <a:gd name="connsiteY1" fmla="*/ 7620 h 434340"/>
            <a:gd name="connsiteX2" fmla="*/ 1958340 w 1958340"/>
            <a:gd name="connsiteY2" fmla="*/ 434340 h 434340"/>
            <a:gd name="connsiteX3" fmla="*/ 0 w 1958340"/>
            <a:gd name="connsiteY3" fmla="*/ 426720 h 434340"/>
            <a:gd name="connsiteX4" fmla="*/ 533400 w 1958340"/>
            <a:gd name="connsiteY4" fmla="*/ 0 h 4343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58340" h="434340">
              <a:moveTo>
                <a:pt x="533400" y="0"/>
              </a:moveTo>
              <a:lnTo>
                <a:pt x="1943100" y="7620"/>
              </a:lnTo>
              <a:lnTo>
                <a:pt x="1958340" y="434340"/>
              </a:lnTo>
              <a:lnTo>
                <a:pt x="0" y="426720"/>
              </a:lnTo>
              <a:lnTo>
                <a:pt x="533400" y="0"/>
              </a:lnTo>
              <a:close/>
            </a:path>
          </a:pathLst>
        </a:custGeom>
        <a:solidFill>
          <a:srgbClr val="A6A6A6">
            <a:alpha val="25000"/>
          </a:srgbClr>
        </a:solidFill>
        <a:ln w="9525" cap="flat" cmpd="sng" algn="ctr">
          <a:noFill/>
          <a:prstDash val="solid"/>
          <a:round/>
          <a:headEnd type="none" w="med" len="med"/>
          <a:tailEnd type="none" w="med" len="med"/>
        </a:ln>
        <a:effectLst/>
      </xdr:spPr>
      <xdr:txBody>
        <a:bodyPr rot="0" spcFirstLastPara="0" vert="horz" wrap="square" lIns="18288" tIns="0" rIns="0" bIns="0" numCol="1" spcCol="0" rtlCol="0" fromWordArt="0" anchor="t" anchorCtr="0" forceAA="0" upright="1"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lang="en-US" sz="1100"/>
        </a:p>
      </xdr:txBody>
    </xdr:sp>
    <xdr:clientData/>
  </xdr:twoCellAnchor>
  <xdr:twoCellAnchor>
    <xdr:from>
      <xdr:col>15</xdr:col>
      <xdr:colOff>83820</xdr:colOff>
      <xdr:row>2</xdr:row>
      <xdr:rowOff>144780</xdr:rowOff>
    </xdr:from>
    <xdr:to>
      <xdr:col>15</xdr:col>
      <xdr:colOff>352419</xdr:colOff>
      <xdr:row>4</xdr:row>
      <xdr:rowOff>64887</xdr:rowOff>
    </xdr:to>
    <xdr:sp macro="" textlink="">
      <xdr:nvSpPr>
        <xdr:cNvPr id="23" name="Freeform 24">
          <a:extLst>
            <a:ext uri="{FF2B5EF4-FFF2-40B4-BE49-F238E27FC236}">
              <a16:creationId xmlns:a16="http://schemas.microsoft.com/office/drawing/2014/main" id="{00000000-0008-0000-1000-000017000000}"/>
            </a:ext>
          </a:extLst>
        </xdr:cNvPr>
        <xdr:cNvSpPr/>
      </xdr:nvSpPr>
      <xdr:spPr bwMode="auto">
        <a:xfrm>
          <a:off x="9056370" y="621030"/>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579883</xdr:colOff>
      <xdr:row>25</xdr:row>
      <xdr:rowOff>129870</xdr:rowOff>
    </xdr:from>
    <xdr:to>
      <xdr:col>12</xdr:col>
      <xdr:colOff>2016990</xdr:colOff>
      <xdr:row>47</xdr:row>
      <xdr:rowOff>101421</xdr:rowOff>
    </xdr:to>
    <xdr:sp macro="" textlink="">
      <xdr:nvSpPr>
        <xdr:cNvPr id="3" name="Freeform 2">
          <a:extLst>
            <a:ext uri="{FF2B5EF4-FFF2-40B4-BE49-F238E27FC236}">
              <a16:creationId xmlns:a16="http://schemas.microsoft.com/office/drawing/2014/main" id="{00000000-0008-0000-1100-000003000000}"/>
            </a:ext>
          </a:extLst>
        </xdr:cNvPr>
        <xdr:cNvSpPr>
          <a:spLocks/>
        </xdr:cNvSpPr>
      </xdr:nvSpPr>
      <xdr:spPr bwMode="auto">
        <a:xfrm>
          <a:off x="4430463" y="4798811"/>
          <a:ext cx="3669000" cy="3849184"/>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0 w 10000"/>
            <a:gd name="connsiteY0" fmla="*/ 9974 h 10000"/>
            <a:gd name="connsiteX1" fmla="*/ 0 w 10000"/>
            <a:gd name="connsiteY1" fmla="*/ 5692 h 10000"/>
            <a:gd name="connsiteX2" fmla="*/ 6044 w 10000"/>
            <a:gd name="connsiteY2" fmla="*/ 332 h 10000"/>
            <a:gd name="connsiteX3" fmla="*/ 9921 w 10000"/>
            <a:gd name="connsiteY3" fmla="*/ 0 h 10000"/>
            <a:gd name="connsiteX4" fmla="*/ 10000 w 10000"/>
            <a:gd name="connsiteY4" fmla="*/ 10000 h 10000"/>
            <a:gd name="connsiteX0" fmla="*/ 0 w 10000"/>
            <a:gd name="connsiteY0" fmla="*/ 9642 h 9668"/>
            <a:gd name="connsiteX1" fmla="*/ 0 w 10000"/>
            <a:gd name="connsiteY1" fmla="*/ 5360 h 9668"/>
            <a:gd name="connsiteX2" fmla="*/ 6044 w 10000"/>
            <a:gd name="connsiteY2" fmla="*/ 0 h 9668"/>
            <a:gd name="connsiteX3" fmla="*/ 9921 w 10000"/>
            <a:gd name="connsiteY3" fmla="*/ 31 h 9668"/>
            <a:gd name="connsiteX4" fmla="*/ 10000 w 10000"/>
            <a:gd name="connsiteY4" fmla="*/ 9668 h 9668"/>
            <a:gd name="connsiteX0" fmla="*/ 0 w 10000"/>
            <a:gd name="connsiteY0" fmla="*/ 9973 h 10000"/>
            <a:gd name="connsiteX1" fmla="*/ 0 w 10000"/>
            <a:gd name="connsiteY1" fmla="*/ 7087 h 10000"/>
            <a:gd name="connsiteX2" fmla="*/ 6044 w 10000"/>
            <a:gd name="connsiteY2" fmla="*/ 0 h 10000"/>
            <a:gd name="connsiteX3" fmla="*/ 9921 w 10000"/>
            <a:gd name="connsiteY3" fmla="*/ 32 h 10000"/>
            <a:gd name="connsiteX4" fmla="*/ 10000 w 10000"/>
            <a:gd name="connsiteY4" fmla="*/ 10000 h 10000"/>
            <a:gd name="connsiteX0" fmla="*/ 0 w 10000"/>
            <a:gd name="connsiteY0" fmla="*/ 9973 h 10000"/>
            <a:gd name="connsiteX1" fmla="*/ 0 w 10000"/>
            <a:gd name="connsiteY1" fmla="*/ 7087 h 10000"/>
            <a:gd name="connsiteX2" fmla="*/ 3251 w 10000"/>
            <a:gd name="connsiteY2" fmla="*/ 3310 h 10000"/>
            <a:gd name="connsiteX3" fmla="*/ 6044 w 10000"/>
            <a:gd name="connsiteY3" fmla="*/ 0 h 10000"/>
            <a:gd name="connsiteX4" fmla="*/ 9921 w 10000"/>
            <a:gd name="connsiteY4" fmla="*/ 32 h 10000"/>
            <a:gd name="connsiteX5" fmla="*/ 10000 w 10000"/>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47 w 10021"/>
            <a:gd name="connsiteY2" fmla="*/ 2895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06 w 10021"/>
            <a:gd name="connsiteY2" fmla="*/ 3033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81 h 10008"/>
            <a:gd name="connsiteX1" fmla="*/ 0 w 10021"/>
            <a:gd name="connsiteY1" fmla="*/ 6482 h 10008"/>
            <a:gd name="connsiteX2" fmla="*/ 1906 w 10021"/>
            <a:gd name="connsiteY2" fmla="*/ 3041 h 10008"/>
            <a:gd name="connsiteX3" fmla="*/ 6065 w 10021"/>
            <a:gd name="connsiteY3" fmla="*/ 8 h 10008"/>
            <a:gd name="connsiteX4" fmla="*/ 9942 w 10021"/>
            <a:gd name="connsiteY4" fmla="*/ 0 h 10008"/>
            <a:gd name="connsiteX5" fmla="*/ 10021 w 10021"/>
            <a:gd name="connsiteY5" fmla="*/ 10008 h 10008"/>
            <a:gd name="connsiteX0" fmla="*/ 21 w 9959"/>
            <a:gd name="connsiteY0" fmla="*/ 9981 h 10008"/>
            <a:gd name="connsiteX1" fmla="*/ 0 w 9959"/>
            <a:gd name="connsiteY1" fmla="*/ 6482 h 10008"/>
            <a:gd name="connsiteX2" fmla="*/ 1906 w 9959"/>
            <a:gd name="connsiteY2" fmla="*/ 3041 h 10008"/>
            <a:gd name="connsiteX3" fmla="*/ 6065 w 9959"/>
            <a:gd name="connsiteY3" fmla="*/ 8 h 10008"/>
            <a:gd name="connsiteX4" fmla="*/ 9942 w 9959"/>
            <a:gd name="connsiteY4" fmla="*/ 0 h 10008"/>
            <a:gd name="connsiteX5" fmla="*/ 9959 w 9959"/>
            <a:gd name="connsiteY5" fmla="*/ 10008 h 10008"/>
            <a:gd name="connsiteX0" fmla="*/ 0 w 10059"/>
            <a:gd name="connsiteY0" fmla="*/ 9938 h 10000"/>
            <a:gd name="connsiteX1" fmla="*/ 59 w 10059"/>
            <a:gd name="connsiteY1" fmla="*/ 6477 h 10000"/>
            <a:gd name="connsiteX2" fmla="*/ 1973 w 10059"/>
            <a:gd name="connsiteY2" fmla="*/ 3039 h 10000"/>
            <a:gd name="connsiteX3" fmla="*/ 6149 w 10059"/>
            <a:gd name="connsiteY3" fmla="*/ 8 h 10000"/>
            <a:gd name="connsiteX4" fmla="*/ 10042 w 10059"/>
            <a:gd name="connsiteY4" fmla="*/ 0 h 10000"/>
            <a:gd name="connsiteX5" fmla="*/ 10059 w 10059"/>
            <a:gd name="connsiteY5" fmla="*/ 10000 h 10000"/>
            <a:gd name="connsiteX0" fmla="*/ 1 w 10060"/>
            <a:gd name="connsiteY0" fmla="*/ 9938 h 10000"/>
            <a:gd name="connsiteX1" fmla="*/ 5 w 10060"/>
            <a:gd name="connsiteY1" fmla="*/ 6477 h 10000"/>
            <a:gd name="connsiteX2" fmla="*/ 1974 w 10060"/>
            <a:gd name="connsiteY2" fmla="*/ 3039 h 10000"/>
            <a:gd name="connsiteX3" fmla="*/ 6150 w 10060"/>
            <a:gd name="connsiteY3" fmla="*/ 8 h 10000"/>
            <a:gd name="connsiteX4" fmla="*/ 10043 w 10060"/>
            <a:gd name="connsiteY4" fmla="*/ 0 h 10000"/>
            <a:gd name="connsiteX5" fmla="*/ 10060 w 10060"/>
            <a:gd name="connsiteY5" fmla="*/ 10000 h 10000"/>
            <a:gd name="connsiteX0" fmla="*/ 1 w 10060"/>
            <a:gd name="connsiteY0" fmla="*/ 9938 h 10000"/>
            <a:gd name="connsiteX1" fmla="*/ 5 w 10060"/>
            <a:gd name="connsiteY1" fmla="*/ 6477 h 10000"/>
            <a:gd name="connsiteX2" fmla="*/ 2042 w 10060"/>
            <a:gd name="connsiteY2" fmla="*/ 3039 h 10000"/>
            <a:gd name="connsiteX3" fmla="*/ 6150 w 10060"/>
            <a:gd name="connsiteY3" fmla="*/ 8 h 10000"/>
            <a:gd name="connsiteX4" fmla="*/ 10043 w 10060"/>
            <a:gd name="connsiteY4" fmla="*/ 0 h 10000"/>
            <a:gd name="connsiteX5" fmla="*/ 10060 w 10060"/>
            <a:gd name="connsiteY5" fmla="*/ 10000 h 10000"/>
            <a:gd name="connsiteX0" fmla="*/ 1 w 10060"/>
            <a:gd name="connsiteY0" fmla="*/ 9953 h 10015"/>
            <a:gd name="connsiteX1" fmla="*/ 5 w 10060"/>
            <a:gd name="connsiteY1" fmla="*/ 6492 h 10015"/>
            <a:gd name="connsiteX2" fmla="*/ 2042 w 10060"/>
            <a:gd name="connsiteY2" fmla="*/ 3054 h 10015"/>
            <a:gd name="connsiteX3" fmla="*/ 6156 w 10060"/>
            <a:gd name="connsiteY3" fmla="*/ 0 h 10015"/>
            <a:gd name="connsiteX4" fmla="*/ 10043 w 10060"/>
            <a:gd name="connsiteY4" fmla="*/ 15 h 10015"/>
            <a:gd name="connsiteX5" fmla="*/ 10060 w 10060"/>
            <a:gd name="connsiteY5" fmla="*/ 10015 h 10015"/>
            <a:gd name="connsiteX0" fmla="*/ 1 w 10060"/>
            <a:gd name="connsiteY0" fmla="*/ 9961 h 10023"/>
            <a:gd name="connsiteX1" fmla="*/ 5 w 10060"/>
            <a:gd name="connsiteY1" fmla="*/ 6500 h 10023"/>
            <a:gd name="connsiteX2" fmla="*/ 2042 w 10060"/>
            <a:gd name="connsiteY2" fmla="*/ 3062 h 10023"/>
            <a:gd name="connsiteX3" fmla="*/ 6156 w 10060"/>
            <a:gd name="connsiteY3" fmla="*/ 8 h 10023"/>
            <a:gd name="connsiteX4" fmla="*/ 10006 w 10060"/>
            <a:gd name="connsiteY4" fmla="*/ 0 h 10023"/>
            <a:gd name="connsiteX5" fmla="*/ 10060 w 10060"/>
            <a:gd name="connsiteY5" fmla="*/ 10023 h 10023"/>
            <a:gd name="connsiteX0" fmla="*/ 1 w 10012"/>
            <a:gd name="connsiteY0" fmla="*/ 9961 h 9965"/>
            <a:gd name="connsiteX1" fmla="*/ 5 w 10012"/>
            <a:gd name="connsiteY1" fmla="*/ 6500 h 9965"/>
            <a:gd name="connsiteX2" fmla="*/ 2042 w 10012"/>
            <a:gd name="connsiteY2" fmla="*/ 3062 h 9965"/>
            <a:gd name="connsiteX3" fmla="*/ 6156 w 10012"/>
            <a:gd name="connsiteY3" fmla="*/ 8 h 9965"/>
            <a:gd name="connsiteX4" fmla="*/ 10006 w 10012"/>
            <a:gd name="connsiteY4" fmla="*/ 0 h 9965"/>
            <a:gd name="connsiteX5" fmla="*/ 9998 w 10012"/>
            <a:gd name="connsiteY5" fmla="*/ 9965 h 99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12" h="9965">
              <a:moveTo>
                <a:pt x="1" y="9961"/>
              </a:moveTo>
              <a:cubicBezTo>
                <a:pt x="-6" y="8796"/>
                <a:pt x="12" y="7665"/>
                <a:pt x="5" y="6500"/>
              </a:cubicBezTo>
              <a:lnTo>
                <a:pt x="2042" y="3062"/>
              </a:lnTo>
              <a:lnTo>
                <a:pt x="6156" y="8"/>
              </a:lnTo>
              <a:lnTo>
                <a:pt x="10006" y="0"/>
              </a:lnTo>
              <a:cubicBezTo>
                <a:pt x="10032" y="3445"/>
                <a:pt x="9972" y="6521"/>
                <a:pt x="9998" y="9965"/>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27</xdr:row>
      <xdr:rowOff>60960</xdr:rowOff>
    </xdr:to>
    <xdr:sp macro="" textlink="">
      <xdr:nvSpPr>
        <xdr:cNvPr id="4" name="Text Box 3">
          <a:extLst>
            <a:ext uri="{FF2B5EF4-FFF2-40B4-BE49-F238E27FC236}">
              <a16:creationId xmlns:a16="http://schemas.microsoft.com/office/drawing/2014/main" id="{00000000-0008-0000-1100-000004000000}"/>
            </a:ext>
          </a:extLst>
        </xdr:cNvPr>
        <xdr:cNvSpPr txBox="1">
          <a:spLocks noChangeArrowheads="1"/>
        </xdr:cNvSpPr>
      </xdr:nvSpPr>
      <xdr:spPr bwMode="auto">
        <a:xfrm>
          <a:off x="4200525" y="4440555"/>
          <a:ext cx="1150620" cy="53530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C182T (230 HP)</a:t>
          </a:r>
        </a:p>
        <a:p>
          <a:pPr algn="ctr" rtl="0">
            <a:defRPr sz="1000"/>
          </a:pPr>
          <a:r>
            <a:rPr lang="en-US" sz="800" b="0" i="1" u="none" strike="noStrike" baseline="0">
              <a:solidFill>
                <a:srgbClr val="FF0000"/>
              </a:solidFill>
              <a:latin typeface="Arial"/>
              <a:cs typeface="Arial"/>
            </a:rPr>
            <a:t>Dashed red line is LANDING weight limit.</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1100-000005000000}"/>
            </a:ext>
          </a:extLst>
        </xdr:cNvPr>
        <xdr:cNvGrpSpPr>
          <a:grpSpLocks/>
        </xdr:cNvGrpSpPr>
      </xdr:nvGrpSpPr>
      <xdr:grpSpPr bwMode="auto">
        <a:xfrm>
          <a:off x="1028700" y="981075"/>
          <a:ext cx="1152525" cy="1476375"/>
          <a:chOff x="108" y="43"/>
          <a:chExt cx="121" cy="163"/>
        </a:xfrm>
      </xdr:grpSpPr>
      <xdr:sp macro="" textlink="">
        <xdr:nvSpPr>
          <xdr:cNvPr id="6" name="Freeform 10">
            <a:extLst>
              <a:ext uri="{FF2B5EF4-FFF2-40B4-BE49-F238E27FC236}">
                <a16:creationId xmlns:a16="http://schemas.microsoft.com/office/drawing/2014/main" id="{00000000-0008-0000-11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11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1100-000008000000}"/>
            </a:ext>
          </a:extLst>
        </xdr:cNvPr>
        <xdr:cNvSpPr txBox="1">
          <a:spLocks noChangeArrowheads="1"/>
        </xdr:cNvSpPr>
      </xdr:nvSpPr>
      <xdr:spPr bwMode="auto">
        <a:xfrm>
          <a:off x="3507105" y="547306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1100-000009000000}"/>
            </a:ext>
          </a:extLst>
        </xdr:cNvPr>
        <xdr:cNvSpPr txBox="1">
          <a:spLocks noChangeArrowheads="1"/>
        </xdr:cNvSpPr>
      </xdr:nvSpPr>
      <xdr:spPr bwMode="auto">
        <a:xfrm>
          <a:off x="5808345" y="3968115"/>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04785" y="27051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1100-00000B000000}"/>
            </a:ext>
          </a:extLst>
        </xdr:cNvPr>
        <xdr:cNvSpPr>
          <a:spLocks/>
        </xdr:cNvSpPr>
      </xdr:nvSpPr>
      <xdr:spPr bwMode="auto">
        <a:xfrm>
          <a:off x="17461230" y="144970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1100-00000C000000}"/>
            </a:ext>
          </a:extLst>
        </xdr:cNvPr>
        <xdr:cNvSpPr>
          <a:spLocks/>
        </xdr:cNvSpPr>
      </xdr:nvSpPr>
      <xdr:spPr bwMode="auto">
        <a:xfrm>
          <a:off x="20585430" y="1506855"/>
          <a:ext cx="116776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6476 w 1247775"/>
            <a:gd name="connsiteY2" fmla="*/ 256982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42487 w 1247775"/>
            <a:gd name="connsiteY2" fmla="*/ 207143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42487" y="207143"/>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12</xdr:col>
      <xdr:colOff>38100</xdr:colOff>
      <xdr:row>28</xdr:row>
      <xdr:rowOff>22858</xdr:rowOff>
    </xdr:from>
    <xdr:to>
      <xdr:col>12</xdr:col>
      <xdr:colOff>2057400</xdr:colOff>
      <xdr:row>28</xdr:row>
      <xdr:rowOff>83819</xdr:rowOff>
    </xdr:to>
    <xdr:sp macro="" textlink="">
      <xdr:nvSpPr>
        <xdr:cNvPr id="13" name="Freeform 12">
          <a:extLst>
            <a:ext uri="{FF2B5EF4-FFF2-40B4-BE49-F238E27FC236}">
              <a16:creationId xmlns:a16="http://schemas.microsoft.com/office/drawing/2014/main" id="{00000000-0008-0000-1100-00000D000000}"/>
            </a:ext>
          </a:extLst>
        </xdr:cNvPr>
        <xdr:cNvSpPr/>
      </xdr:nvSpPr>
      <xdr:spPr bwMode="auto">
        <a:xfrm flipV="1">
          <a:off x="6118860" y="5113018"/>
          <a:ext cx="2019300" cy="60961"/>
        </a:xfrm>
        <a:custGeom>
          <a:avLst/>
          <a:gdLst>
            <a:gd name="connsiteX0" fmla="*/ 0 w 1813560"/>
            <a:gd name="connsiteY0" fmla="*/ 0 h 0"/>
            <a:gd name="connsiteX1" fmla="*/ 1813560 w 1813560"/>
            <a:gd name="connsiteY1" fmla="*/ 0 h 0"/>
          </a:gdLst>
          <a:ahLst/>
          <a:cxnLst>
            <a:cxn ang="0">
              <a:pos x="connsiteX0" y="connsiteY0"/>
            </a:cxn>
            <a:cxn ang="0">
              <a:pos x="connsiteX1" y="connsiteY1"/>
            </a:cxn>
          </a:cxnLst>
          <a:rect l="l" t="t" r="r" b="b"/>
          <a:pathLst>
            <a:path w="1813560">
              <a:moveTo>
                <a:pt x="0" y="0"/>
              </a:moveTo>
              <a:lnTo>
                <a:pt x="1813560" y="0"/>
              </a:lnTo>
            </a:path>
          </a:pathLst>
        </a:custGeom>
        <a:noFill/>
        <a:ln w="19050" cap="flat" cmpd="sng" algn="ctr">
          <a:solidFill>
            <a:srgbClr val="FF0000"/>
          </a:solidFill>
          <a:prstDash val="dash"/>
          <a:round/>
          <a:headEnd type="none" w="med" len="med"/>
          <a:tailEnd type="none" w="med" len="med"/>
        </a:ln>
        <a:effectLst/>
      </xdr:spPr>
      <xdr:txBody>
        <a:bodyPr vertOverflow="clip" horzOverflow="clip" wrap="square" lIns="18288" tIns="0" rIns="0" bIns="0" rtlCol="0" anchor="t" upright="1">
          <a:spAutoFit/>
        </a:bodyPr>
        <a:lstStyle/>
        <a:p>
          <a:pPr algn="l"/>
          <a:endParaRPr lang="en-US" sz="1100"/>
        </a:p>
      </xdr:txBody>
    </xdr:sp>
    <xdr:clientData/>
  </xdr:twoCellAnchor>
  <xdr:twoCellAnchor>
    <xdr:from>
      <xdr:col>26</xdr:col>
      <xdr:colOff>38100</xdr:colOff>
      <xdr:row>9</xdr:row>
      <xdr:rowOff>91440</xdr:rowOff>
    </xdr:from>
    <xdr:to>
      <xdr:col>26</xdr:col>
      <xdr:colOff>167640</xdr:colOff>
      <xdr:row>9</xdr:row>
      <xdr:rowOff>114300</xdr:rowOff>
    </xdr:to>
    <xdr:sp macro="" textlink="">
      <xdr:nvSpPr>
        <xdr:cNvPr id="14" name="Freeform 13">
          <a:extLst>
            <a:ext uri="{FF2B5EF4-FFF2-40B4-BE49-F238E27FC236}">
              <a16:creationId xmlns:a16="http://schemas.microsoft.com/office/drawing/2014/main" id="{00000000-0008-0000-1100-00000E000000}"/>
            </a:ext>
          </a:extLst>
        </xdr:cNvPr>
        <xdr:cNvSpPr/>
      </xdr:nvSpPr>
      <xdr:spPr bwMode="auto">
        <a:xfrm>
          <a:off x="17442180" y="172212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30480</xdr:colOff>
      <xdr:row>9</xdr:row>
      <xdr:rowOff>106680</xdr:rowOff>
    </xdr:from>
    <xdr:to>
      <xdr:col>31</xdr:col>
      <xdr:colOff>160020</xdr:colOff>
      <xdr:row>9</xdr:row>
      <xdr:rowOff>129540</xdr:rowOff>
    </xdr:to>
    <xdr:sp macro="" textlink="">
      <xdr:nvSpPr>
        <xdr:cNvPr id="15" name="Freeform 14">
          <a:extLst>
            <a:ext uri="{FF2B5EF4-FFF2-40B4-BE49-F238E27FC236}">
              <a16:creationId xmlns:a16="http://schemas.microsoft.com/office/drawing/2014/main" id="{00000000-0008-0000-1100-00000F000000}"/>
            </a:ext>
          </a:extLst>
        </xdr:cNvPr>
        <xdr:cNvSpPr/>
      </xdr:nvSpPr>
      <xdr:spPr bwMode="auto">
        <a:xfrm>
          <a:off x="20558760" y="173736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64770</xdr:colOff>
      <xdr:row>32</xdr:row>
      <xdr:rowOff>9525</xdr:rowOff>
    </xdr:from>
    <xdr:to>
      <xdr:col>27</xdr:col>
      <xdr:colOff>560070</xdr:colOff>
      <xdr:row>40</xdr:row>
      <xdr:rowOff>32385</xdr:rowOff>
    </xdr:to>
    <xdr:sp macro="" textlink="">
      <xdr:nvSpPr>
        <xdr:cNvPr id="16" name="Freeform 26">
          <a:extLst>
            <a:ext uri="{FF2B5EF4-FFF2-40B4-BE49-F238E27FC236}">
              <a16:creationId xmlns:a16="http://schemas.microsoft.com/office/drawing/2014/main" id="{00000000-0008-0000-1100-000010000000}"/>
            </a:ext>
          </a:extLst>
        </xdr:cNvPr>
        <xdr:cNvSpPr>
          <a:spLocks/>
        </xdr:cNvSpPr>
      </xdr:nvSpPr>
      <xdr:spPr bwMode="auto">
        <a:xfrm>
          <a:off x="17468850" y="583120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26670</xdr:colOff>
      <xdr:row>32</xdr:row>
      <xdr:rowOff>40005</xdr:rowOff>
    </xdr:from>
    <xdr:to>
      <xdr:col>32</xdr:col>
      <xdr:colOff>521970</xdr:colOff>
      <xdr:row>40</xdr:row>
      <xdr:rowOff>62865</xdr:rowOff>
    </xdr:to>
    <xdr:sp macro="" textlink="">
      <xdr:nvSpPr>
        <xdr:cNvPr id="17" name="Freeform 26">
          <a:extLst>
            <a:ext uri="{FF2B5EF4-FFF2-40B4-BE49-F238E27FC236}">
              <a16:creationId xmlns:a16="http://schemas.microsoft.com/office/drawing/2014/main" id="{00000000-0008-0000-1100-000011000000}"/>
            </a:ext>
          </a:extLst>
        </xdr:cNvPr>
        <xdr:cNvSpPr>
          <a:spLocks/>
        </xdr:cNvSpPr>
      </xdr:nvSpPr>
      <xdr:spPr bwMode="auto">
        <a:xfrm>
          <a:off x="20554950" y="586168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38100</xdr:colOff>
      <xdr:row>33</xdr:row>
      <xdr:rowOff>121920</xdr:rowOff>
    </xdr:from>
    <xdr:to>
      <xdr:col>26</xdr:col>
      <xdr:colOff>167640</xdr:colOff>
      <xdr:row>33</xdr:row>
      <xdr:rowOff>144780</xdr:rowOff>
    </xdr:to>
    <xdr:sp macro="" textlink="">
      <xdr:nvSpPr>
        <xdr:cNvPr id="18" name="Freeform 17">
          <a:extLst>
            <a:ext uri="{FF2B5EF4-FFF2-40B4-BE49-F238E27FC236}">
              <a16:creationId xmlns:a16="http://schemas.microsoft.com/office/drawing/2014/main" id="{00000000-0008-0000-1100-000012000000}"/>
            </a:ext>
          </a:extLst>
        </xdr:cNvPr>
        <xdr:cNvSpPr/>
      </xdr:nvSpPr>
      <xdr:spPr bwMode="auto">
        <a:xfrm>
          <a:off x="17442180" y="611124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38100</xdr:colOff>
      <xdr:row>59</xdr:row>
      <xdr:rowOff>38100</xdr:rowOff>
    </xdr:from>
    <xdr:to>
      <xdr:col>26</xdr:col>
      <xdr:colOff>167640</xdr:colOff>
      <xdr:row>59</xdr:row>
      <xdr:rowOff>60960</xdr:rowOff>
    </xdr:to>
    <xdr:sp macro="" textlink="">
      <xdr:nvSpPr>
        <xdr:cNvPr id="19" name="Freeform 18">
          <a:extLst>
            <a:ext uri="{FF2B5EF4-FFF2-40B4-BE49-F238E27FC236}">
              <a16:creationId xmlns:a16="http://schemas.microsoft.com/office/drawing/2014/main" id="{00000000-0008-0000-1100-000013000000}"/>
            </a:ext>
          </a:extLst>
        </xdr:cNvPr>
        <xdr:cNvSpPr/>
      </xdr:nvSpPr>
      <xdr:spPr bwMode="auto">
        <a:xfrm>
          <a:off x="17442180" y="1050036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0</xdr:colOff>
      <xdr:row>33</xdr:row>
      <xdr:rowOff>114300</xdr:rowOff>
    </xdr:from>
    <xdr:to>
      <xdr:col>31</xdr:col>
      <xdr:colOff>129540</xdr:colOff>
      <xdr:row>33</xdr:row>
      <xdr:rowOff>137160</xdr:rowOff>
    </xdr:to>
    <xdr:sp macro="" textlink="">
      <xdr:nvSpPr>
        <xdr:cNvPr id="20" name="Freeform 19">
          <a:extLst>
            <a:ext uri="{FF2B5EF4-FFF2-40B4-BE49-F238E27FC236}">
              <a16:creationId xmlns:a16="http://schemas.microsoft.com/office/drawing/2014/main" id="{00000000-0008-0000-1100-000014000000}"/>
            </a:ext>
          </a:extLst>
        </xdr:cNvPr>
        <xdr:cNvSpPr/>
      </xdr:nvSpPr>
      <xdr:spPr bwMode="auto">
        <a:xfrm>
          <a:off x="20528280" y="6103620"/>
          <a:ext cx="12954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oneCellAnchor>
    <xdr:from>
      <xdr:col>1</xdr:col>
      <xdr:colOff>0</xdr:colOff>
      <xdr:row>13</xdr:row>
      <xdr:rowOff>0</xdr:rowOff>
    </xdr:from>
    <xdr:ext cx="370486" cy="180819"/>
    <xdr:sp macro="" textlink="">
      <xdr:nvSpPr>
        <xdr:cNvPr id="22" name="TextBox 21">
          <a:extLst>
            <a:ext uri="{FF2B5EF4-FFF2-40B4-BE49-F238E27FC236}">
              <a16:creationId xmlns:a16="http://schemas.microsoft.com/office/drawing/2014/main" id="{00000000-0008-0000-1100-000016000000}"/>
            </a:ext>
          </a:extLst>
        </xdr:cNvPr>
        <xdr:cNvSpPr txBox="1"/>
      </xdr:nvSpPr>
      <xdr:spPr>
        <a:xfrm>
          <a:off x="91440" y="2392680"/>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12</xdr:col>
      <xdr:colOff>2255</xdr:colOff>
      <xdr:row>25</xdr:row>
      <xdr:rowOff>141127</xdr:rowOff>
    </xdr:from>
    <xdr:to>
      <xdr:col>12</xdr:col>
      <xdr:colOff>2016505</xdr:colOff>
      <xdr:row>28</xdr:row>
      <xdr:rowOff>83819</xdr:rowOff>
    </xdr:to>
    <xdr:sp macro="" textlink="">
      <xdr:nvSpPr>
        <xdr:cNvPr id="24" name="Freeform 23">
          <a:extLst>
            <a:ext uri="{FF2B5EF4-FFF2-40B4-BE49-F238E27FC236}">
              <a16:creationId xmlns:a16="http://schemas.microsoft.com/office/drawing/2014/main" id="{00000000-0008-0000-1100-000018000000}"/>
            </a:ext>
          </a:extLst>
        </xdr:cNvPr>
        <xdr:cNvSpPr/>
      </xdr:nvSpPr>
      <xdr:spPr bwMode="auto">
        <a:xfrm>
          <a:off x="6084728" y="4810068"/>
          <a:ext cx="2014250" cy="454449"/>
        </a:xfrm>
        <a:custGeom>
          <a:avLst/>
          <a:gdLst>
            <a:gd name="connsiteX0" fmla="*/ 381000 w 1805940"/>
            <a:gd name="connsiteY0" fmla="*/ 0 h 495300"/>
            <a:gd name="connsiteX1" fmla="*/ 1798320 w 1805940"/>
            <a:gd name="connsiteY1" fmla="*/ 15240 h 495300"/>
            <a:gd name="connsiteX2" fmla="*/ 1805940 w 1805940"/>
            <a:gd name="connsiteY2" fmla="*/ 495300 h 495300"/>
            <a:gd name="connsiteX3" fmla="*/ 0 w 1805940"/>
            <a:gd name="connsiteY3" fmla="*/ 487680 h 495300"/>
            <a:gd name="connsiteX4" fmla="*/ 381000 w 1805940"/>
            <a:gd name="connsiteY4" fmla="*/ 0 h 495300"/>
            <a:gd name="connsiteX0" fmla="*/ 381000 w 1882140"/>
            <a:gd name="connsiteY0" fmla="*/ 0 h 495300"/>
            <a:gd name="connsiteX1" fmla="*/ 1882140 w 1882140"/>
            <a:gd name="connsiteY1" fmla="*/ 76200 h 495300"/>
            <a:gd name="connsiteX2" fmla="*/ 1805940 w 1882140"/>
            <a:gd name="connsiteY2" fmla="*/ 495300 h 495300"/>
            <a:gd name="connsiteX3" fmla="*/ 0 w 1882140"/>
            <a:gd name="connsiteY3" fmla="*/ 487680 h 495300"/>
            <a:gd name="connsiteX4" fmla="*/ 381000 w 1882140"/>
            <a:gd name="connsiteY4" fmla="*/ 0 h 495300"/>
            <a:gd name="connsiteX0" fmla="*/ 381000 w 1882140"/>
            <a:gd name="connsiteY0" fmla="*/ 0 h 533400"/>
            <a:gd name="connsiteX1" fmla="*/ 1882140 w 1882140"/>
            <a:gd name="connsiteY1" fmla="*/ 76200 h 533400"/>
            <a:gd name="connsiteX2" fmla="*/ 1874520 w 1882140"/>
            <a:gd name="connsiteY2" fmla="*/ 533400 h 533400"/>
            <a:gd name="connsiteX3" fmla="*/ 0 w 1882140"/>
            <a:gd name="connsiteY3" fmla="*/ 487680 h 533400"/>
            <a:gd name="connsiteX4" fmla="*/ 381000 w 1882140"/>
            <a:gd name="connsiteY4" fmla="*/ 0 h 53340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289560 w 1790700"/>
            <a:gd name="connsiteY0" fmla="*/ 0 h 541020"/>
            <a:gd name="connsiteX1" fmla="*/ 429260 w 1790700"/>
            <a:gd name="connsiteY1" fmla="*/ 40640 h 541020"/>
            <a:gd name="connsiteX2" fmla="*/ 1790700 w 1790700"/>
            <a:gd name="connsiteY2" fmla="*/ 76200 h 541020"/>
            <a:gd name="connsiteX3" fmla="*/ 1783080 w 1790700"/>
            <a:gd name="connsiteY3" fmla="*/ 533400 h 541020"/>
            <a:gd name="connsiteX4" fmla="*/ 0 w 1790700"/>
            <a:gd name="connsiteY4" fmla="*/ 541020 h 541020"/>
            <a:gd name="connsiteX5" fmla="*/ 289560 w 1790700"/>
            <a:gd name="connsiteY5" fmla="*/ 0 h 541020"/>
            <a:gd name="connsiteX0" fmla="*/ 289560 w 1790700"/>
            <a:gd name="connsiteY0" fmla="*/ 34560 h 575580"/>
            <a:gd name="connsiteX1" fmla="*/ 1790700 w 1790700"/>
            <a:gd name="connsiteY1" fmla="*/ 110760 h 575580"/>
            <a:gd name="connsiteX2" fmla="*/ 1783080 w 1790700"/>
            <a:gd name="connsiteY2" fmla="*/ 567960 h 575580"/>
            <a:gd name="connsiteX3" fmla="*/ 0 w 1790700"/>
            <a:gd name="connsiteY3" fmla="*/ 575580 h 575580"/>
            <a:gd name="connsiteX4" fmla="*/ 289560 w 1790700"/>
            <a:gd name="connsiteY4" fmla="*/ 34560 h 57558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365760 w 1790700"/>
            <a:gd name="connsiteY0" fmla="*/ 0 h 495300"/>
            <a:gd name="connsiteX1" fmla="*/ 1790700 w 1790700"/>
            <a:gd name="connsiteY1" fmla="*/ 30480 h 495300"/>
            <a:gd name="connsiteX2" fmla="*/ 1783080 w 1790700"/>
            <a:gd name="connsiteY2" fmla="*/ 487680 h 495300"/>
            <a:gd name="connsiteX3" fmla="*/ 0 w 1790700"/>
            <a:gd name="connsiteY3" fmla="*/ 495300 h 495300"/>
            <a:gd name="connsiteX4" fmla="*/ 365760 w 1790700"/>
            <a:gd name="connsiteY4" fmla="*/ 0 h 495300"/>
            <a:gd name="connsiteX0" fmla="*/ 373380 w 1790700"/>
            <a:gd name="connsiteY0" fmla="*/ 0 h 464820"/>
            <a:gd name="connsiteX1" fmla="*/ 1790700 w 1790700"/>
            <a:gd name="connsiteY1" fmla="*/ 0 h 464820"/>
            <a:gd name="connsiteX2" fmla="*/ 1783080 w 1790700"/>
            <a:gd name="connsiteY2" fmla="*/ 457200 h 464820"/>
            <a:gd name="connsiteX3" fmla="*/ 0 w 1790700"/>
            <a:gd name="connsiteY3" fmla="*/ 464820 h 464820"/>
            <a:gd name="connsiteX4" fmla="*/ 373380 w 1790700"/>
            <a:gd name="connsiteY4" fmla="*/ 0 h 464820"/>
            <a:gd name="connsiteX0" fmla="*/ 594360 w 2011680"/>
            <a:gd name="connsiteY0" fmla="*/ 0 h 457200"/>
            <a:gd name="connsiteX1" fmla="*/ 2011680 w 2011680"/>
            <a:gd name="connsiteY1" fmla="*/ 0 h 457200"/>
            <a:gd name="connsiteX2" fmla="*/ 2004060 w 2011680"/>
            <a:gd name="connsiteY2" fmla="*/ 457200 h 457200"/>
            <a:gd name="connsiteX3" fmla="*/ 0 w 2011680"/>
            <a:gd name="connsiteY3" fmla="*/ 441960 h 457200"/>
            <a:gd name="connsiteX4" fmla="*/ 594360 w 2011680"/>
            <a:gd name="connsiteY4" fmla="*/ 0 h 457200"/>
            <a:gd name="connsiteX0" fmla="*/ 594360 w 2011680"/>
            <a:gd name="connsiteY0" fmla="*/ 0 h 441960"/>
            <a:gd name="connsiteX1" fmla="*/ 2011680 w 2011680"/>
            <a:gd name="connsiteY1" fmla="*/ 0 h 441960"/>
            <a:gd name="connsiteX2" fmla="*/ 2004060 w 2011680"/>
            <a:gd name="connsiteY2" fmla="*/ 434340 h 441960"/>
            <a:gd name="connsiteX3" fmla="*/ 0 w 2011680"/>
            <a:gd name="connsiteY3" fmla="*/ 441960 h 441960"/>
            <a:gd name="connsiteX4" fmla="*/ 594360 w 2011680"/>
            <a:gd name="connsiteY4" fmla="*/ 0 h 441960"/>
            <a:gd name="connsiteX0" fmla="*/ 594360 w 2004060"/>
            <a:gd name="connsiteY0" fmla="*/ 0 h 441960"/>
            <a:gd name="connsiteX1" fmla="*/ 1988820 w 2004060"/>
            <a:gd name="connsiteY1" fmla="*/ 0 h 441960"/>
            <a:gd name="connsiteX2" fmla="*/ 2004060 w 2004060"/>
            <a:gd name="connsiteY2" fmla="*/ 434340 h 441960"/>
            <a:gd name="connsiteX3" fmla="*/ 0 w 2004060"/>
            <a:gd name="connsiteY3" fmla="*/ 441960 h 441960"/>
            <a:gd name="connsiteX4" fmla="*/ 594360 w 2004060"/>
            <a:gd name="connsiteY4" fmla="*/ 0 h 441960"/>
            <a:gd name="connsiteX0" fmla="*/ 596583 w 2004060"/>
            <a:gd name="connsiteY0" fmla="*/ 0 h 448704"/>
            <a:gd name="connsiteX1" fmla="*/ 1988820 w 2004060"/>
            <a:gd name="connsiteY1" fmla="*/ 6744 h 448704"/>
            <a:gd name="connsiteX2" fmla="*/ 2004060 w 2004060"/>
            <a:gd name="connsiteY2" fmla="*/ 441084 h 448704"/>
            <a:gd name="connsiteX3" fmla="*/ 0 w 2004060"/>
            <a:gd name="connsiteY3" fmla="*/ 448704 h 448704"/>
            <a:gd name="connsiteX4" fmla="*/ 596583 w 2004060"/>
            <a:gd name="connsiteY4" fmla="*/ 0 h 448704"/>
            <a:gd name="connsiteX0" fmla="*/ 596583 w 2004060"/>
            <a:gd name="connsiteY0" fmla="*/ 4497 h 453201"/>
            <a:gd name="connsiteX1" fmla="*/ 1984374 w 2004060"/>
            <a:gd name="connsiteY1" fmla="*/ 0 h 453201"/>
            <a:gd name="connsiteX2" fmla="*/ 2004060 w 2004060"/>
            <a:gd name="connsiteY2" fmla="*/ 445581 h 453201"/>
            <a:gd name="connsiteX3" fmla="*/ 0 w 2004060"/>
            <a:gd name="connsiteY3" fmla="*/ 453201 h 453201"/>
            <a:gd name="connsiteX4" fmla="*/ 596583 w 2004060"/>
            <a:gd name="connsiteY4" fmla="*/ 4497 h 453201"/>
            <a:gd name="connsiteX0" fmla="*/ 596583 w 1986275"/>
            <a:gd name="connsiteY0" fmla="*/ 4497 h 453201"/>
            <a:gd name="connsiteX1" fmla="*/ 1984374 w 1986275"/>
            <a:gd name="connsiteY1" fmla="*/ 0 h 453201"/>
            <a:gd name="connsiteX2" fmla="*/ 1986275 w 1986275"/>
            <a:gd name="connsiteY2" fmla="*/ 443332 h 453201"/>
            <a:gd name="connsiteX3" fmla="*/ 0 w 1986275"/>
            <a:gd name="connsiteY3" fmla="*/ 453201 h 453201"/>
            <a:gd name="connsiteX4" fmla="*/ 596583 w 1986275"/>
            <a:gd name="connsiteY4" fmla="*/ 4497 h 4532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86275" h="453201">
              <a:moveTo>
                <a:pt x="596583" y="4497"/>
              </a:moveTo>
              <a:lnTo>
                <a:pt x="1984374" y="0"/>
              </a:lnTo>
              <a:cubicBezTo>
                <a:pt x="1985008" y="147777"/>
                <a:pt x="1985641" y="295555"/>
                <a:pt x="1986275" y="443332"/>
              </a:cubicBezTo>
              <a:lnTo>
                <a:pt x="0" y="453201"/>
              </a:lnTo>
              <a:lnTo>
                <a:pt x="596583" y="4497"/>
              </a:lnTo>
              <a:close/>
            </a:path>
          </a:pathLst>
        </a:custGeom>
        <a:solidFill>
          <a:srgbClr val="A6A6A6">
            <a:alpha val="25000"/>
          </a:srgbClr>
        </a:solidFill>
        <a:ln w="9525" cap="flat" cmpd="sng" algn="ctr">
          <a:noFill/>
          <a:prstDash val="solid"/>
          <a:round/>
          <a:headEnd type="none" w="med" len="med"/>
          <a:tailEnd type="none" w="med" len="med"/>
        </a:ln>
        <a:effectLst/>
      </xdr:spPr>
      <xdr:txBody>
        <a:bodyPr rot="0" spcFirstLastPara="0" vert="horz" wrap="square" lIns="18288" tIns="0" rIns="0" bIns="0" numCol="1" spcCol="0" rtlCol="0" fromWordArt="0" anchor="t" anchorCtr="0" forceAA="0" upright="1"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lang="en-US" sz="1100"/>
        </a:p>
      </xdr:txBody>
    </xdr:sp>
    <xdr:clientData/>
  </xdr:twoCellAnchor>
  <xdr:twoCellAnchor>
    <xdr:from>
      <xdr:col>15</xdr:col>
      <xdr:colOff>121920</xdr:colOff>
      <xdr:row>2</xdr:row>
      <xdr:rowOff>160020</xdr:rowOff>
    </xdr:from>
    <xdr:to>
      <xdr:col>15</xdr:col>
      <xdr:colOff>390519</xdr:colOff>
      <xdr:row>4</xdr:row>
      <xdr:rowOff>80127</xdr:rowOff>
    </xdr:to>
    <xdr:sp macro="" textlink="">
      <xdr:nvSpPr>
        <xdr:cNvPr id="25" name="Freeform 24">
          <a:extLst>
            <a:ext uri="{FF2B5EF4-FFF2-40B4-BE49-F238E27FC236}">
              <a16:creationId xmlns:a16="http://schemas.microsoft.com/office/drawing/2014/main" id="{00000000-0008-0000-1100-000019000000}"/>
            </a:ext>
          </a:extLst>
        </xdr:cNvPr>
        <xdr:cNvSpPr/>
      </xdr:nvSpPr>
      <xdr:spPr bwMode="auto">
        <a:xfrm>
          <a:off x="9372600" y="632460"/>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238125</xdr:colOff>
      <xdr:row>4</xdr:row>
      <xdr:rowOff>57150</xdr:rowOff>
    </xdr:from>
    <xdr:to>
      <xdr:col>3</xdr:col>
      <xdr:colOff>190500</xdr:colOff>
      <xdr:row>7</xdr:row>
      <xdr:rowOff>171450</xdr:rowOff>
    </xdr:to>
    <xdr:pic>
      <xdr:nvPicPr>
        <xdr:cNvPr id="234746" name="Picture 14" descr="CAP-LOGO-1">
          <a:extLst>
            <a:ext uri="{FF2B5EF4-FFF2-40B4-BE49-F238E27FC236}">
              <a16:creationId xmlns:a16="http://schemas.microsoft.com/office/drawing/2014/main" id="{00000000-0008-0000-0100-0000FA9403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8150" y="590550"/>
          <a:ext cx="600075" cy="609600"/>
        </a:xfrm>
        <a:prstGeom prst="rect">
          <a:avLst/>
        </a:prstGeom>
        <a:noFill/>
        <a:ln w="9525">
          <a:noFill/>
          <a:miter lim="800000"/>
          <a:headEnd/>
          <a:tailEnd/>
        </a:ln>
      </xdr:spPr>
    </xdr:pic>
    <xdr:clientData/>
  </xdr:twoCellAnchor>
  <xdr:oneCellAnchor>
    <xdr:from>
      <xdr:col>4</xdr:col>
      <xdr:colOff>1855471</xdr:colOff>
      <xdr:row>1</xdr:row>
      <xdr:rowOff>40004</xdr:rowOff>
    </xdr:from>
    <xdr:ext cx="666749" cy="417196"/>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379471" y="40004"/>
          <a:ext cx="666749" cy="417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t">
          <a:noAutofit/>
        </a:bodyPr>
        <a:lstStyle/>
        <a:p>
          <a:pPr algn="ctr"/>
          <a:r>
            <a:rPr lang="en-US" sz="900" b="1">
              <a:latin typeface="Arial" pitchFamily="34" charset="0"/>
              <a:cs typeface="Arial" pitchFamily="34" charset="0"/>
            </a:rPr>
            <a:t>Pilot, Passengers &amp; Cargo</a:t>
          </a:r>
        </a:p>
      </xdr:txBody>
    </xdr:sp>
    <xdr:clientData/>
  </xdr:oneCellAnchor>
  <xdr:oneCellAnchor>
    <xdr:from>
      <xdr:col>4</xdr:col>
      <xdr:colOff>1828800</xdr:colOff>
      <xdr:row>5</xdr:row>
      <xdr:rowOff>123824</xdr:rowOff>
    </xdr:from>
    <xdr:ext cx="2362200" cy="2000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314700" y="847724"/>
          <a:ext cx="236220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800" i="1">
              <a:latin typeface="Arial" pitchFamily="34" charset="0"/>
              <a:cs typeface="Arial" pitchFamily="34" charset="0"/>
            </a:rPr>
            <a:t>Enter</a:t>
          </a:r>
          <a:r>
            <a:rPr lang="en-US" sz="800" i="1" baseline="0">
              <a:latin typeface="Arial" pitchFamily="34" charset="0"/>
              <a:cs typeface="Arial" pitchFamily="34" charset="0"/>
            </a:rPr>
            <a:t> weight -or- slide bar to obtain total weight</a:t>
          </a:r>
          <a:endParaRPr lang="en-US" sz="800" i="1">
            <a:latin typeface="Arial" pitchFamily="34" charset="0"/>
            <a:cs typeface="Arial"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6</xdr:col>
          <xdr:colOff>76200</xdr:colOff>
          <xdr:row>4</xdr:row>
          <xdr:rowOff>28575</xdr:rowOff>
        </xdr:from>
        <xdr:to>
          <xdr:col>8</xdr:col>
          <xdr:colOff>457200</xdr:colOff>
          <xdr:row>4</xdr:row>
          <xdr:rowOff>161925</xdr:rowOff>
        </xdr:to>
        <xdr:sp macro="" textlink="">
          <xdr:nvSpPr>
            <xdr:cNvPr id="234504" name="ScrollBar1" hidden="1">
              <a:extLst>
                <a:ext uri="{63B3BB69-23CF-44E3-9099-C40C66FF867C}">
                  <a14:compatExt spid="_x0000_s234504"/>
                </a:ext>
                <a:ext uri="{FF2B5EF4-FFF2-40B4-BE49-F238E27FC236}">
                  <a16:creationId xmlns:a16="http://schemas.microsoft.com/office/drawing/2014/main" id="{00000000-0008-0000-0100-0000089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10</xdr:col>
      <xdr:colOff>990600</xdr:colOff>
      <xdr:row>21</xdr:row>
      <xdr:rowOff>152400</xdr:rowOff>
    </xdr:from>
    <xdr:to>
      <xdr:col>15</xdr:col>
      <xdr:colOff>19050</xdr:colOff>
      <xdr:row>50</xdr:row>
      <xdr:rowOff>142875</xdr:rowOff>
    </xdr:to>
    <xdr:graphicFrame macro="">
      <xdr:nvGraphicFramePr>
        <xdr:cNvPr id="2" name="Chart 2">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538116</xdr:colOff>
      <xdr:row>25</xdr:row>
      <xdr:rowOff>130042</xdr:rowOff>
    </xdr:from>
    <xdr:to>
      <xdr:col>14</xdr:col>
      <xdr:colOff>2068227</xdr:colOff>
      <xdr:row>49</xdr:row>
      <xdr:rowOff>62123</xdr:rowOff>
    </xdr:to>
    <xdr:sp macro="" textlink="">
      <xdr:nvSpPr>
        <xdr:cNvPr id="3" name="Freeform 3">
          <a:extLst>
            <a:ext uri="{FF2B5EF4-FFF2-40B4-BE49-F238E27FC236}">
              <a16:creationId xmlns:a16="http://schemas.microsoft.com/office/drawing/2014/main" id="{00000000-0008-0000-1200-000003000000}"/>
            </a:ext>
          </a:extLst>
        </xdr:cNvPr>
        <xdr:cNvSpPr>
          <a:spLocks/>
        </xdr:cNvSpPr>
      </xdr:nvSpPr>
      <xdr:spPr bwMode="auto">
        <a:xfrm>
          <a:off x="4796488" y="4915774"/>
          <a:ext cx="3762678" cy="4148636"/>
        </a:xfrm>
        <a:custGeom>
          <a:avLst/>
          <a:gdLst>
            <a:gd name="T0" fmla="*/ 2147483647 w 381"/>
            <a:gd name="T1" fmla="*/ 2147483647 h 403"/>
            <a:gd name="T2" fmla="*/ 0 w 381"/>
            <a:gd name="T3" fmla="*/ 2147483647 h 403"/>
            <a:gd name="T4" fmla="*/ 2147483647 w 381"/>
            <a:gd name="T5" fmla="*/ 0 h 403"/>
            <a:gd name="T6" fmla="*/ 2147483647 w 381"/>
            <a:gd name="T7" fmla="*/ 2147483647 h 403"/>
            <a:gd name="T8" fmla="*/ 2147483647 w 381"/>
            <a:gd name="T9" fmla="*/ 2147483647 h 403"/>
            <a:gd name="T10" fmla="*/ 0 60000 65536"/>
            <a:gd name="T11" fmla="*/ 0 60000 65536"/>
            <a:gd name="T12" fmla="*/ 0 60000 65536"/>
            <a:gd name="T13" fmla="*/ 0 60000 65536"/>
            <a:gd name="T14" fmla="*/ 0 60000 65536"/>
            <a:gd name="T15" fmla="*/ 0 w 381"/>
            <a:gd name="T16" fmla="*/ 0 h 403"/>
            <a:gd name="T17" fmla="*/ 381 w 381"/>
            <a:gd name="T18" fmla="*/ 403 h 403"/>
            <a:gd name="connsiteX0" fmla="*/ 0 w 10010"/>
            <a:gd name="connsiteY0" fmla="*/ 9957 h 10000"/>
            <a:gd name="connsiteX1" fmla="*/ 10 w 10010"/>
            <a:gd name="connsiteY1" fmla="*/ 8412 h 10000"/>
            <a:gd name="connsiteX2" fmla="*/ 5049 w 10010"/>
            <a:gd name="connsiteY2" fmla="*/ 0 h 10000"/>
            <a:gd name="connsiteX3" fmla="*/ 10010 w 10010"/>
            <a:gd name="connsiteY3" fmla="*/ 25 h 10000"/>
            <a:gd name="connsiteX4" fmla="*/ 9984 w 10010"/>
            <a:gd name="connsiteY4" fmla="*/ 10000 h 10000"/>
            <a:gd name="connsiteX0" fmla="*/ 3 w 10013"/>
            <a:gd name="connsiteY0" fmla="*/ 9957 h 10000"/>
            <a:gd name="connsiteX1" fmla="*/ 0 w 10013"/>
            <a:gd name="connsiteY1" fmla="*/ 8367 h 10000"/>
            <a:gd name="connsiteX2" fmla="*/ 5052 w 10013"/>
            <a:gd name="connsiteY2" fmla="*/ 0 h 10000"/>
            <a:gd name="connsiteX3" fmla="*/ 10013 w 10013"/>
            <a:gd name="connsiteY3" fmla="*/ 25 h 10000"/>
            <a:gd name="connsiteX4" fmla="*/ 9987 w 10013"/>
            <a:gd name="connsiteY4" fmla="*/ 10000 h 10000"/>
            <a:gd name="connsiteX0" fmla="*/ 3 w 10164"/>
            <a:gd name="connsiteY0" fmla="*/ 10011 h 10054"/>
            <a:gd name="connsiteX1" fmla="*/ 0 w 10164"/>
            <a:gd name="connsiteY1" fmla="*/ 8421 h 10054"/>
            <a:gd name="connsiteX2" fmla="*/ 5052 w 10164"/>
            <a:gd name="connsiteY2" fmla="*/ 54 h 10054"/>
            <a:gd name="connsiteX3" fmla="*/ 10164 w 10164"/>
            <a:gd name="connsiteY3" fmla="*/ 0 h 10054"/>
            <a:gd name="connsiteX4" fmla="*/ 9987 w 10164"/>
            <a:gd name="connsiteY4" fmla="*/ 10054 h 10054"/>
            <a:gd name="connsiteX0" fmla="*/ 3 w 10171"/>
            <a:gd name="connsiteY0" fmla="*/ 10011 h 10020"/>
            <a:gd name="connsiteX1" fmla="*/ 0 w 10171"/>
            <a:gd name="connsiteY1" fmla="*/ 8421 h 10020"/>
            <a:gd name="connsiteX2" fmla="*/ 5052 w 10171"/>
            <a:gd name="connsiteY2" fmla="*/ 54 h 10020"/>
            <a:gd name="connsiteX3" fmla="*/ 10164 w 10171"/>
            <a:gd name="connsiteY3" fmla="*/ 0 h 10020"/>
            <a:gd name="connsiteX4" fmla="*/ 10169 w 10171"/>
            <a:gd name="connsiteY4" fmla="*/ 10020 h 10020"/>
            <a:gd name="connsiteX0" fmla="*/ 3 w 10171"/>
            <a:gd name="connsiteY0" fmla="*/ 10011 h 10020"/>
            <a:gd name="connsiteX1" fmla="*/ 0 w 10171"/>
            <a:gd name="connsiteY1" fmla="*/ 8421 h 10020"/>
            <a:gd name="connsiteX2" fmla="*/ 5077 w 10171"/>
            <a:gd name="connsiteY2" fmla="*/ 3 h 10020"/>
            <a:gd name="connsiteX3" fmla="*/ 10164 w 10171"/>
            <a:gd name="connsiteY3" fmla="*/ 0 h 10020"/>
            <a:gd name="connsiteX4" fmla="*/ 10169 w 10171"/>
            <a:gd name="connsiteY4" fmla="*/ 10020 h 100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171" h="10020">
              <a:moveTo>
                <a:pt x="3" y="10011"/>
              </a:moveTo>
              <a:cubicBezTo>
                <a:pt x="6" y="9496"/>
                <a:pt x="-3" y="8936"/>
                <a:pt x="0" y="8421"/>
              </a:cubicBezTo>
              <a:lnTo>
                <a:pt x="5077" y="3"/>
              </a:lnTo>
              <a:lnTo>
                <a:pt x="10164" y="0"/>
              </a:lnTo>
              <a:cubicBezTo>
                <a:pt x="10155" y="3325"/>
                <a:pt x="10178" y="6695"/>
                <a:pt x="10169" y="10020"/>
              </a:cubicBezTo>
            </a:path>
          </a:pathLst>
        </a:custGeom>
        <a:noFill/>
        <a:ln w="19050" cmpd="sng">
          <a:solidFill>
            <a:srgbClr val="333333"/>
          </a:solidFill>
          <a:round/>
          <a:headEnd/>
          <a:tailEnd/>
        </a:ln>
      </xdr:spPr>
    </xdr:sp>
    <xdr:clientData/>
  </xdr:twoCellAnchor>
  <xdr:twoCellAnchor>
    <xdr:from>
      <xdr:col>11</xdr:col>
      <xdr:colOff>352425</xdr:colOff>
      <xdr:row>24</xdr:row>
      <xdr:rowOff>114300</xdr:rowOff>
    </xdr:from>
    <xdr:to>
      <xdr:col>13</xdr:col>
      <xdr:colOff>85725</xdr:colOff>
      <xdr:row>27</xdr:row>
      <xdr:rowOff>123825</xdr:rowOff>
    </xdr:to>
    <xdr:sp macro="" textlink="">
      <xdr:nvSpPr>
        <xdr:cNvPr id="4" name="Text Box 6">
          <a:extLst>
            <a:ext uri="{FF2B5EF4-FFF2-40B4-BE49-F238E27FC236}">
              <a16:creationId xmlns:a16="http://schemas.microsoft.com/office/drawing/2014/main" id="{00000000-0008-0000-1200-000004000000}"/>
            </a:ext>
          </a:extLst>
        </xdr:cNvPr>
        <xdr:cNvSpPr txBox="1">
          <a:spLocks noChangeArrowheads="1"/>
        </xdr:cNvSpPr>
      </xdr:nvSpPr>
      <xdr:spPr bwMode="auto">
        <a:xfrm>
          <a:off x="4642485" y="4709160"/>
          <a:ext cx="1150620" cy="58102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1000" b="1" i="1" u="none" strike="noStrike" baseline="0">
              <a:solidFill>
                <a:srgbClr val="000000"/>
              </a:solidFill>
              <a:latin typeface="Arial"/>
              <a:cs typeface="Arial"/>
            </a:rPr>
            <a:t>Loading </a:t>
          </a:r>
        </a:p>
        <a:p>
          <a:pPr algn="ctr" rtl="0">
            <a:defRPr sz="1000"/>
          </a:pPr>
          <a:r>
            <a:rPr lang="en-US" sz="1000" b="1" i="1" u="none" strike="noStrike" baseline="0">
              <a:solidFill>
                <a:srgbClr val="000000"/>
              </a:solidFill>
              <a:latin typeface="Arial"/>
              <a:cs typeface="Arial"/>
            </a:rPr>
            <a:t>Limits </a:t>
          </a:r>
        </a:p>
        <a:p>
          <a:pPr algn="ctr" rtl="0">
            <a:defRPr sz="1000"/>
          </a:pPr>
          <a:r>
            <a:rPr lang="en-US" sz="1000" b="1" i="1" u="none" strike="noStrike" baseline="0">
              <a:solidFill>
                <a:srgbClr val="000000"/>
              </a:solidFill>
              <a:latin typeface="Arial"/>
              <a:cs typeface="Arial"/>
            </a:rPr>
            <a:t>Gippsland GA-8</a:t>
          </a:r>
        </a:p>
      </xdr:txBody>
    </xdr:sp>
    <xdr:clientData/>
  </xdr:twoCellAnchor>
  <xdr:twoCellAnchor>
    <xdr:from>
      <xdr:col>1</xdr:col>
      <xdr:colOff>899160</xdr:colOff>
      <xdr:row>5</xdr:row>
      <xdr:rowOff>1906</xdr:rowOff>
    </xdr:from>
    <xdr:to>
      <xdr:col>8</xdr:col>
      <xdr:colOff>22860</xdr:colOff>
      <xdr:row>16</xdr:row>
      <xdr:rowOff>30481</xdr:rowOff>
    </xdr:to>
    <xdr:grpSp>
      <xdr:nvGrpSpPr>
        <xdr:cNvPr id="5" name="Group 67">
          <a:extLst>
            <a:ext uri="{FF2B5EF4-FFF2-40B4-BE49-F238E27FC236}">
              <a16:creationId xmlns:a16="http://schemas.microsoft.com/office/drawing/2014/main" id="{00000000-0008-0000-1200-000005000000}"/>
            </a:ext>
          </a:extLst>
        </xdr:cNvPr>
        <xdr:cNvGrpSpPr>
          <a:grpSpLocks/>
        </xdr:cNvGrpSpPr>
      </xdr:nvGrpSpPr>
      <xdr:grpSpPr bwMode="auto">
        <a:xfrm>
          <a:off x="984885" y="1030606"/>
          <a:ext cx="1695450" cy="2095500"/>
          <a:chOff x="106" y="42"/>
          <a:chExt cx="124" cy="229"/>
        </a:xfrm>
      </xdr:grpSpPr>
      <xdr:sp macro="" textlink="">
        <xdr:nvSpPr>
          <xdr:cNvPr id="6" name="Freeform 16">
            <a:extLst>
              <a:ext uri="{FF2B5EF4-FFF2-40B4-BE49-F238E27FC236}">
                <a16:creationId xmlns:a16="http://schemas.microsoft.com/office/drawing/2014/main" id="{00000000-0008-0000-1200-000006000000}"/>
              </a:ext>
            </a:extLst>
          </xdr:cNvPr>
          <xdr:cNvSpPr>
            <a:spLocks/>
          </xdr:cNvSpPr>
        </xdr:nvSpPr>
        <xdr:spPr bwMode="auto">
          <a:xfrm>
            <a:off x="106" y="58"/>
            <a:ext cx="7" cy="213"/>
          </a:xfrm>
          <a:custGeom>
            <a:avLst/>
            <a:gdLst>
              <a:gd name="T0" fmla="*/ 1 w 7"/>
              <a:gd name="T1" fmla="*/ 0 h 213"/>
              <a:gd name="T2" fmla="*/ 1 w 7"/>
              <a:gd name="T3" fmla="*/ 132 h 213"/>
              <a:gd name="T4" fmla="*/ 7 w 7"/>
              <a:gd name="T5" fmla="*/ 213 h 213"/>
              <a:gd name="T6" fmla="*/ 0 60000 65536"/>
              <a:gd name="T7" fmla="*/ 0 60000 65536"/>
              <a:gd name="T8" fmla="*/ 0 60000 65536"/>
              <a:gd name="T9" fmla="*/ 0 w 7"/>
              <a:gd name="T10" fmla="*/ 0 h 213"/>
              <a:gd name="T11" fmla="*/ 7 w 7"/>
              <a:gd name="T12" fmla="*/ 213 h 213"/>
            </a:gdLst>
            <a:ahLst/>
            <a:cxnLst>
              <a:cxn ang="T6">
                <a:pos x="T0" y="T1"/>
              </a:cxn>
              <a:cxn ang="T7">
                <a:pos x="T2" y="T3"/>
              </a:cxn>
              <a:cxn ang="T8">
                <a:pos x="T4" y="T5"/>
              </a:cxn>
            </a:cxnLst>
            <a:rect l="T9" t="T10" r="T11" b="T12"/>
            <a:pathLst>
              <a:path w="7" h="213">
                <a:moveTo>
                  <a:pt x="1" y="0"/>
                </a:moveTo>
                <a:cubicBezTo>
                  <a:pt x="1" y="22"/>
                  <a:pt x="0" y="97"/>
                  <a:pt x="1" y="132"/>
                </a:cubicBezTo>
                <a:cubicBezTo>
                  <a:pt x="2" y="167"/>
                  <a:pt x="6" y="196"/>
                  <a:pt x="7" y="213"/>
                </a:cubicBezTo>
              </a:path>
            </a:pathLst>
          </a:custGeom>
          <a:noFill/>
          <a:ln w="28575" cmpd="sng">
            <a:solidFill>
              <a:srgbClr val="C0C0C0"/>
            </a:solidFill>
            <a:round/>
            <a:headEnd type="none" w="med" len="med"/>
            <a:tailEnd type="none" w="med" len="med"/>
          </a:ln>
        </xdr:spPr>
      </xdr:sp>
      <xdr:sp macro="" textlink="">
        <xdr:nvSpPr>
          <xdr:cNvPr id="7" name="Freeform 17">
            <a:extLst>
              <a:ext uri="{FF2B5EF4-FFF2-40B4-BE49-F238E27FC236}">
                <a16:creationId xmlns:a16="http://schemas.microsoft.com/office/drawing/2014/main" id="{00000000-0008-0000-1200-000007000000}"/>
              </a:ext>
            </a:extLst>
          </xdr:cNvPr>
          <xdr:cNvSpPr>
            <a:spLocks/>
          </xdr:cNvSpPr>
        </xdr:nvSpPr>
        <xdr:spPr bwMode="auto">
          <a:xfrm flipH="1">
            <a:off x="223" y="42"/>
            <a:ext cx="7" cy="229"/>
          </a:xfrm>
          <a:custGeom>
            <a:avLst/>
            <a:gdLst>
              <a:gd name="T0" fmla="*/ 1 w 7"/>
              <a:gd name="T1" fmla="*/ 0 h 173"/>
              <a:gd name="T2" fmla="*/ 1 w 7"/>
              <a:gd name="T3" fmla="*/ 1546243 h 173"/>
              <a:gd name="T4" fmla="*/ 7 w 7"/>
              <a:gd name="T5" fmla="*/ 2393455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grpSp>
    <xdr:clientData/>
  </xdr:twoCellAnchor>
  <xdr:oneCellAnchor>
    <xdr:from>
      <xdr:col>10</xdr:col>
      <xdr:colOff>962025</xdr:colOff>
      <xdr:row>29</xdr:row>
      <xdr:rowOff>9525</xdr:rowOff>
    </xdr:from>
    <xdr:ext cx="161925" cy="857250"/>
    <xdr:sp macro="" textlink="">
      <xdr:nvSpPr>
        <xdr:cNvPr id="8" name="Text Box 299">
          <a:extLst>
            <a:ext uri="{FF2B5EF4-FFF2-40B4-BE49-F238E27FC236}">
              <a16:creationId xmlns:a16="http://schemas.microsoft.com/office/drawing/2014/main" id="{00000000-0008-0000-1200-000008000000}"/>
            </a:ext>
          </a:extLst>
        </xdr:cNvPr>
        <xdr:cNvSpPr txBox="1">
          <a:spLocks noChangeArrowheads="1"/>
        </xdr:cNvSpPr>
      </xdr:nvSpPr>
      <xdr:spPr bwMode="auto">
        <a:xfrm>
          <a:off x="3949065" y="555688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13</xdr:col>
      <xdr:colOff>390525</xdr:colOff>
      <xdr:row>22</xdr:row>
      <xdr:rowOff>19050</xdr:rowOff>
    </xdr:from>
    <xdr:ext cx="704850" cy="161925"/>
    <xdr:sp macro="" textlink="">
      <xdr:nvSpPr>
        <xdr:cNvPr id="9" name="Text Box 300">
          <a:extLst>
            <a:ext uri="{FF2B5EF4-FFF2-40B4-BE49-F238E27FC236}">
              <a16:creationId xmlns:a16="http://schemas.microsoft.com/office/drawing/2014/main" id="{00000000-0008-0000-1200-000009000000}"/>
            </a:ext>
          </a:extLst>
        </xdr:cNvPr>
        <xdr:cNvSpPr txBox="1">
          <a:spLocks noChangeArrowheads="1"/>
        </xdr:cNvSpPr>
      </xdr:nvSpPr>
      <xdr:spPr bwMode="auto">
        <a:xfrm>
          <a:off x="6097905" y="4248150"/>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14</xdr:col>
      <xdr:colOff>1695450</xdr:colOff>
      <xdr:row>1</xdr:row>
      <xdr:rowOff>47625</xdr:rowOff>
    </xdr:from>
    <xdr:to>
      <xdr:col>14</xdr:col>
      <xdr:colOff>2419350</xdr:colOff>
      <xdr:row>5</xdr:row>
      <xdr:rowOff>53340</xdr:rowOff>
    </xdr:to>
    <xdr:pic>
      <xdr:nvPicPr>
        <xdr:cNvPr id="10" name="Picture 321" descr="CAP-LOGO-1">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18170" y="352425"/>
          <a:ext cx="723900" cy="729615"/>
        </a:xfrm>
        <a:prstGeom prst="rect">
          <a:avLst/>
        </a:prstGeom>
        <a:noFill/>
        <a:ln w="9525">
          <a:noFill/>
          <a:miter lim="800000"/>
          <a:headEnd/>
          <a:tailEnd/>
        </a:ln>
      </xdr:spPr>
    </xdr:pic>
    <xdr:clientData/>
  </xdr:twoCellAnchor>
  <xdr:twoCellAnchor>
    <xdr:from>
      <xdr:col>28</xdr:col>
      <xdr:colOff>57150</xdr:colOff>
      <xdr:row>6</xdr:row>
      <xdr:rowOff>9525</xdr:rowOff>
    </xdr:from>
    <xdr:to>
      <xdr:col>29</xdr:col>
      <xdr:colOff>552450</xdr:colOff>
      <xdr:row>13</xdr:row>
      <xdr:rowOff>85725</xdr:rowOff>
    </xdr:to>
    <xdr:sp macro="" textlink="">
      <xdr:nvSpPr>
        <xdr:cNvPr id="11" name="Freeform 26">
          <a:extLst>
            <a:ext uri="{FF2B5EF4-FFF2-40B4-BE49-F238E27FC236}">
              <a16:creationId xmlns:a16="http://schemas.microsoft.com/office/drawing/2014/main" id="{00000000-0008-0000-1200-00000B000000}"/>
            </a:ext>
          </a:extLst>
        </xdr:cNvPr>
        <xdr:cNvSpPr>
          <a:spLocks/>
        </xdr:cNvSpPr>
      </xdr:nvSpPr>
      <xdr:spPr bwMode="auto">
        <a:xfrm>
          <a:off x="17857470" y="1198245"/>
          <a:ext cx="111252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480192 w 1247775"/>
            <a:gd name="connsiteY2" fmla="*/ 0 h 1152525"/>
            <a:gd name="connsiteX3" fmla="*/ 1247775 w 1247775"/>
            <a:gd name="connsiteY3" fmla="*/ 0 h 1152525"/>
            <a:gd name="connsiteX4" fmla="*/ 1238250 w 1247775"/>
            <a:gd name="connsiteY4" fmla="*/ 1133475 h 11525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33</xdr:col>
      <xdr:colOff>57150</xdr:colOff>
      <xdr:row>6</xdr:row>
      <xdr:rowOff>66675</xdr:rowOff>
    </xdr:from>
    <xdr:to>
      <xdr:col>34</xdr:col>
      <xdr:colOff>600075</xdr:colOff>
      <xdr:row>13</xdr:row>
      <xdr:rowOff>142875</xdr:rowOff>
    </xdr:to>
    <xdr:sp macro="" textlink="">
      <xdr:nvSpPr>
        <xdr:cNvPr id="12" name="Freeform 28">
          <a:extLst>
            <a:ext uri="{FF2B5EF4-FFF2-40B4-BE49-F238E27FC236}">
              <a16:creationId xmlns:a16="http://schemas.microsoft.com/office/drawing/2014/main" id="{00000000-0008-0000-1200-00000C000000}"/>
            </a:ext>
          </a:extLst>
        </xdr:cNvPr>
        <xdr:cNvSpPr>
          <a:spLocks/>
        </xdr:cNvSpPr>
      </xdr:nvSpPr>
      <xdr:spPr bwMode="auto">
        <a:xfrm>
          <a:off x="20943570" y="1255395"/>
          <a:ext cx="116014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6476 w 1247775"/>
            <a:gd name="connsiteY2" fmla="*/ 256982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42487 w 1247775"/>
            <a:gd name="connsiteY2" fmla="*/ 207143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480192 w 1247775"/>
            <a:gd name="connsiteY2" fmla="*/ 0 h 1152525"/>
            <a:gd name="connsiteX3" fmla="*/ 1247775 w 1247775"/>
            <a:gd name="connsiteY3" fmla="*/ 0 h 1152525"/>
            <a:gd name="connsiteX4" fmla="*/ 1238250 w 1247775"/>
            <a:gd name="connsiteY4" fmla="*/ 1133475 h 11525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28</xdr:col>
      <xdr:colOff>22860</xdr:colOff>
      <xdr:row>30</xdr:row>
      <xdr:rowOff>30479</xdr:rowOff>
    </xdr:from>
    <xdr:to>
      <xdr:col>29</xdr:col>
      <xdr:colOff>560070</xdr:colOff>
      <xdr:row>38</xdr:row>
      <xdr:rowOff>32384</xdr:rowOff>
    </xdr:to>
    <xdr:sp macro="" textlink="">
      <xdr:nvSpPr>
        <xdr:cNvPr id="13" name="Freeform 26">
          <a:extLst>
            <a:ext uri="{FF2B5EF4-FFF2-40B4-BE49-F238E27FC236}">
              <a16:creationId xmlns:a16="http://schemas.microsoft.com/office/drawing/2014/main" id="{00000000-0008-0000-1200-00000D000000}"/>
            </a:ext>
          </a:extLst>
        </xdr:cNvPr>
        <xdr:cNvSpPr>
          <a:spLocks/>
        </xdr:cNvSpPr>
      </xdr:nvSpPr>
      <xdr:spPr bwMode="auto">
        <a:xfrm>
          <a:off x="17823180" y="5737859"/>
          <a:ext cx="1154430" cy="1396365"/>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480192 w 1247775"/>
            <a:gd name="connsiteY2" fmla="*/ 0 h 1152525"/>
            <a:gd name="connsiteX3" fmla="*/ 1247775 w 1247775"/>
            <a:gd name="connsiteY3" fmla="*/ 0 h 1152525"/>
            <a:gd name="connsiteX4" fmla="*/ 1238250 w 1247775"/>
            <a:gd name="connsiteY4" fmla="*/ 1133475 h 11525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33</xdr:col>
      <xdr:colOff>26670</xdr:colOff>
      <xdr:row>30</xdr:row>
      <xdr:rowOff>40005</xdr:rowOff>
    </xdr:from>
    <xdr:to>
      <xdr:col>34</xdr:col>
      <xdr:colOff>521970</xdr:colOff>
      <xdr:row>38</xdr:row>
      <xdr:rowOff>62865</xdr:rowOff>
    </xdr:to>
    <xdr:sp macro="" textlink="">
      <xdr:nvSpPr>
        <xdr:cNvPr id="14" name="Freeform 26">
          <a:extLst>
            <a:ext uri="{FF2B5EF4-FFF2-40B4-BE49-F238E27FC236}">
              <a16:creationId xmlns:a16="http://schemas.microsoft.com/office/drawing/2014/main" id="{00000000-0008-0000-1200-00000E000000}"/>
            </a:ext>
          </a:extLst>
        </xdr:cNvPr>
        <xdr:cNvSpPr>
          <a:spLocks/>
        </xdr:cNvSpPr>
      </xdr:nvSpPr>
      <xdr:spPr bwMode="auto">
        <a:xfrm>
          <a:off x="20913090" y="5747385"/>
          <a:ext cx="1112520" cy="141732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480192 w 1247775"/>
            <a:gd name="connsiteY2" fmla="*/ 0 h 1152525"/>
            <a:gd name="connsiteX3" fmla="*/ 1247775 w 1247775"/>
            <a:gd name="connsiteY3" fmla="*/ 0 h 1152525"/>
            <a:gd name="connsiteX4" fmla="*/ 1238250 w 1247775"/>
            <a:gd name="connsiteY4" fmla="*/ 1133475 h 11525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oneCellAnchor>
    <xdr:from>
      <xdr:col>1</xdr:col>
      <xdr:colOff>15240</xdr:colOff>
      <xdr:row>16</xdr:row>
      <xdr:rowOff>0</xdr:rowOff>
    </xdr:from>
    <xdr:ext cx="370486" cy="180819"/>
    <xdr:sp macro="" textlink="">
      <xdr:nvSpPr>
        <xdr:cNvPr id="15" name="TextBox 14">
          <a:extLst>
            <a:ext uri="{FF2B5EF4-FFF2-40B4-BE49-F238E27FC236}">
              <a16:creationId xmlns:a16="http://schemas.microsoft.com/office/drawing/2014/main" id="{00000000-0008-0000-1200-00000F000000}"/>
            </a:ext>
          </a:extLst>
        </xdr:cNvPr>
        <xdr:cNvSpPr txBox="1"/>
      </xdr:nvSpPr>
      <xdr:spPr>
        <a:xfrm>
          <a:off x="106680" y="3093720"/>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17</xdr:col>
      <xdr:colOff>76200</xdr:colOff>
      <xdr:row>2</xdr:row>
      <xdr:rowOff>152400</xdr:rowOff>
    </xdr:from>
    <xdr:to>
      <xdr:col>17</xdr:col>
      <xdr:colOff>344799</xdr:colOff>
      <xdr:row>4</xdr:row>
      <xdr:rowOff>34407</xdr:rowOff>
    </xdr:to>
    <xdr:sp macro="" textlink="">
      <xdr:nvSpPr>
        <xdr:cNvPr id="16" name="Freeform 15">
          <a:extLst>
            <a:ext uri="{FF2B5EF4-FFF2-40B4-BE49-F238E27FC236}">
              <a16:creationId xmlns:a16="http://schemas.microsoft.com/office/drawing/2014/main" id="{00000000-0008-0000-1200-000010000000}"/>
            </a:ext>
          </a:extLst>
        </xdr:cNvPr>
        <xdr:cNvSpPr/>
      </xdr:nvSpPr>
      <xdr:spPr bwMode="auto">
        <a:xfrm>
          <a:off x="9776460" y="647700"/>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mc:AlternateContent xmlns:mc="http://schemas.openxmlformats.org/markup-compatibility/2006">
    <mc:Choice xmlns:a14="http://schemas.microsoft.com/office/drawing/2010/main" Requires="a14">
      <xdr:twoCellAnchor editAs="oneCell">
        <xdr:from>
          <xdr:col>7</xdr:col>
          <xdr:colOff>28575</xdr:colOff>
          <xdr:row>7</xdr:row>
          <xdr:rowOff>19050</xdr:rowOff>
        </xdr:from>
        <xdr:to>
          <xdr:col>7</xdr:col>
          <xdr:colOff>190500</xdr:colOff>
          <xdr:row>7</xdr:row>
          <xdr:rowOff>180975</xdr:rowOff>
        </xdr:to>
        <xdr:sp macro="" textlink="">
          <xdr:nvSpPr>
            <xdr:cNvPr id="1206273" name="CheckBox2" hidden="1">
              <a:extLst>
                <a:ext uri="{63B3BB69-23CF-44E3-9099-C40C66FF867C}">
                  <a14:compatExt spid="_x0000_s1206273"/>
                </a:ext>
                <a:ext uri="{FF2B5EF4-FFF2-40B4-BE49-F238E27FC236}">
                  <a16:creationId xmlns:a16="http://schemas.microsoft.com/office/drawing/2014/main" id="{00000000-0008-0000-1200-00000168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180975</xdr:colOff>
          <xdr:row>9</xdr:row>
          <xdr:rowOff>180975</xdr:rowOff>
        </xdr:to>
        <xdr:sp macro="" textlink="">
          <xdr:nvSpPr>
            <xdr:cNvPr id="1206274" name="CheckBox3" hidden="1">
              <a:extLst>
                <a:ext uri="{63B3BB69-23CF-44E3-9099-C40C66FF867C}">
                  <a14:compatExt spid="_x0000_s1206274"/>
                </a:ext>
                <a:ext uri="{FF2B5EF4-FFF2-40B4-BE49-F238E27FC236}">
                  <a16:creationId xmlns:a16="http://schemas.microsoft.com/office/drawing/2014/main" id="{00000000-0008-0000-1200-00000268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180975</xdr:rowOff>
        </xdr:from>
        <xdr:to>
          <xdr:col>7</xdr:col>
          <xdr:colOff>180975</xdr:colOff>
          <xdr:row>11</xdr:row>
          <xdr:rowOff>152400</xdr:rowOff>
        </xdr:to>
        <xdr:sp macro="" textlink="">
          <xdr:nvSpPr>
            <xdr:cNvPr id="1206275" name="CheckBox4" hidden="1">
              <a:extLst>
                <a:ext uri="{63B3BB69-23CF-44E3-9099-C40C66FF867C}">
                  <a14:compatExt spid="_x0000_s1206275"/>
                </a:ext>
                <a:ext uri="{FF2B5EF4-FFF2-40B4-BE49-F238E27FC236}">
                  <a16:creationId xmlns:a16="http://schemas.microsoft.com/office/drawing/2014/main" id="{00000000-0008-0000-1200-00000368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0</xdr:rowOff>
        </xdr:from>
        <xdr:to>
          <xdr:col>7</xdr:col>
          <xdr:colOff>180975</xdr:colOff>
          <xdr:row>13</xdr:row>
          <xdr:rowOff>161925</xdr:rowOff>
        </xdr:to>
        <xdr:sp macro="" textlink="">
          <xdr:nvSpPr>
            <xdr:cNvPr id="1206276" name="CheckBox5" hidden="1">
              <a:extLst>
                <a:ext uri="{63B3BB69-23CF-44E3-9099-C40C66FF867C}">
                  <a14:compatExt spid="_x0000_s1206276"/>
                </a:ext>
                <a:ext uri="{FF2B5EF4-FFF2-40B4-BE49-F238E27FC236}">
                  <a16:creationId xmlns:a16="http://schemas.microsoft.com/office/drawing/2014/main" id="{00000000-0008-0000-1200-00000468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19050</xdr:rowOff>
        </xdr:from>
        <xdr:to>
          <xdr:col>4</xdr:col>
          <xdr:colOff>180975</xdr:colOff>
          <xdr:row>9</xdr:row>
          <xdr:rowOff>180975</xdr:rowOff>
        </xdr:to>
        <xdr:sp macro="" textlink="">
          <xdr:nvSpPr>
            <xdr:cNvPr id="1206277" name="CheckBox6" hidden="1">
              <a:extLst>
                <a:ext uri="{63B3BB69-23CF-44E3-9099-C40C66FF867C}">
                  <a14:compatExt spid="_x0000_s1206277"/>
                </a:ext>
                <a:ext uri="{FF2B5EF4-FFF2-40B4-BE49-F238E27FC236}">
                  <a16:creationId xmlns:a16="http://schemas.microsoft.com/office/drawing/2014/main" id="{00000000-0008-0000-1200-00000568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9525</xdr:rowOff>
        </xdr:from>
        <xdr:to>
          <xdr:col>4</xdr:col>
          <xdr:colOff>171450</xdr:colOff>
          <xdr:row>11</xdr:row>
          <xdr:rowOff>171450</xdr:rowOff>
        </xdr:to>
        <xdr:sp macro="" textlink="">
          <xdr:nvSpPr>
            <xdr:cNvPr id="1206278" name="CheckBox7" hidden="1">
              <a:extLst>
                <a:ext uri="{63B3BB69-23CF-44E3-9099-C40C66FF867C}">
                  <a14:compatExt spid="_x0000_s1206278"/>
                </a:ext>
                <a:ext uri="{FF2B5EF4-FFF2-40B4-BE49-F238E27FC236}">
                  <a16:creationId xmlns:a16="http://schemas.microsoft.com/office/drawing/2014/main" id="{00000000-0008-0000-1200-00000668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180975</xdr:rowOff>
        </xdr:from>
        <xdr:to>
          <xdr:col>4</xdr:col>
          <xdr:colOff>171450</xdr:colOff>
          <xdr:row>13</xdr:row>
          <xdr:rowOff>152400</xdr:rowOff>
        </xdr:to>
        <xdr:sp macro="" textlink="">
          <xdr:nvSpPr>
            <xdr:cNvPr id="1206279" name="CheckBox8" hidden="1">
              <a:extLst>
                <a:ext uri="{63B3BB69-23CF-44E3-9099-C40C66FF867C}">
                  <a14:compatExt spid="_x0000_s1206279"/>
                </a:ext>
                <a:ext uri="{FF2B5EF4-FFF2-40B4-BE49-F238E27FC236}">
                  <a16:creationId xmlns:a16="http://schemas.microsoft.com/office/drawing/2014/main" id="{00000000-0008-0000-1200-00000768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10</xdr:col>
      <xdr:colOff>990600</xdr:colOff>
      <xdr:row>21</xdr:row>
      <xdr:rowOff>152400</xdr:rowOff>
    </xdr:from>
    <xdr:to>
      <xdr:col>15</xdr:col>
      <xdr:colOff>19050</xdr:colOff>
      <xdr:row>50</xdr:row>
      <xdr:rowOff>142875</xdr:rowOff>
    </xdr:to>
    <xdr:graphicFrame macro="">
      <xdr:nvGraphicFramePr>
        <xdr:cNvPr id="2" name="Chart 2">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536266</xdr:colOff>
      <xdr:row>25</xdr:row>
      <xdr:rowOff>125752</xdr:rowOff>
    </xdr:from>
    <xdr:to>
      <xdr:col>14</xdr:col>
      <xdr:colOff>2070075</xdr:colOff>
      <xdr:row>49</xdr:row>
      <xdr:rowOff>57046</xdr:rowOff>
    </xdr:to>
    <xdr:sp macro="" textlink="">
      <xdr:nvSpPr>
        <xdr:cNvPr id="3" name="Freeform 3">
          <a:extLst>
            <a:ext uri="{FF2B5EF4-FFF2-40B4-BE49-F238E27FC236}">
              <a16:creationId xmlns:a16="http://schemas.microsoft.com/office/drawing/2014/main" id="{00000000-0008-0000-1300-000003000000}"/>
            </a:ext>
          </a:extLst>
        </xdr:cNvPr>
        <xdr:cNvSpPr>
          <a:spLocks/>
        </xdr:cNvSpPr>
      </xdr:nvSpPr>
      <xdr:spPr bwMode="auto">
        <a:xfrm>
          <a:off x="4798564" y="4933927"/>
          <a:ext cx="3766336" cy="4171312"/>
        </a:xfrm>
        <a:custGeom>
          <a:avLst/>
          <a:gdLst>
            <a:gd name="T0" fmla="*/ 2147483647 w 381"/>
            <a:gd name="T1" fmla="*/ 2147483647 h 403"/>
            <a:gd name="T2" fmla="*/ 0 w 381"/>
            <a:gd name="T3" fmla="*/ 2147483647 h 403"/>
            <a:gd name="T4" fmla="*/ 2147483647 w 381"/>
            <a:gd name="T5" fmla="*/ 0 h 403"/>
            <a:gd name="T6" fmla="*/ 2147483647 w 381"/>
            <a:gd name="T7" fmla="*/ 2147483647 h 403"/>
            <a:gd name="T8" fmla="*/ 2147483647 w 381"/>
            <a:gd name="T9" fmla="*/ 2147483647 h 403"/>
            <a:gd name="T10" fmla="*/ 0 60000 65536"/>
            <a:gd name="T11" fmla="*/ 0 60000 65536"/>
            <a:gd name="T12" fmla="*/ 0 60000 65536"/>
            <a:gd name="T13" fmla="*/ 0 60000 65536"/>
            <a:gd name="T14" fmla="*/ 0 60000 65536"/>
            <a:gd name="T15" fmla="*/ 0 w 381"/>
            <a:gd name="T16" fmla="*/ 0 h 403"/>
            <a:gd name="T17" fmla="*/ 381 w 381"/>
            <a:gd name="T18" fmla="*/ 403 h 403"/>
            <a:gd name="connsiteX0" fmla="*/ 70 w 10018"/>
            <a:gd name="connsiteY0" fmla="*/ 9975 h 10000"/>
            <a:gd name="connsiteX1" fmla="*/ 0 w 10018"/>
            <a:gd name="connsiteY1" fmla="*/ 8353 h 10000"/>
            <a:gd name="connsiteX2" fmla="*/ 5057 w 10018"/>
            <a:gd name="connsiteY2" fmla="*/ 0 h 10000"/>
            <a:gd name="connsiteX3" fmla="*/ 10018 w 10018"/>
            <a:gd name="connsiteY3" fmla="*/ 25 h 10000"/>
            <a:gd name="connsiteX4" fmla="*/ 9992 w 10018"/>
            <a:gd name="connsiteY4" fmla="*/ 10000 h 10000"/>
            <a:gd name="connsiteX0" fmla="*/ 10 w 10018"/>
            <a:gd name="connsiteY0" fmla="*/ 9954 h 10000"/>
            <a:gd name="connsiteX1" fmla="*/ 0 w 10018"/>
            <a:gd name="connsiteY1" fmla="*/ 8353 h 10000"/>
            <a:gd name="connsiteX2" fmla="*/ 5057 w 10018"/>
            <a:gd name="connsiteY2" fmla="*/ 0 h 10000"/>
            <a:gd name="connsiteX3" fmla="*/ 10018 w 10018"/>
            <a:gd name="connsiteY3" fmla="*/ 25 h 10000"/>
            <a:gd name="connsiteX4" fmla="*/ 9992 w 10018"/>
            <a:gd name="connsiteY4" fmla="*/ 10000 h 10000"/>
            <a:gd name="connsiteX0" fmla="*/ 10 w 10018"/>
            <a:gd name="connsiteY0" fmla="*/ 9954 h 10000"/>
            <a:gd name="connsiteX1" fmla="*/ 0 w 10018"/>
            <a:gd name="connsiteY1" fmla="*/ 8353 h 10000"/>
            <a:gd name="connsiteX2" fmla="*/ 5057 w 10018"/>
            <a:gd name="connsiteY2" fmla="*/ 0 h 10000"/>
            <a:gd name="connsiteX3" fmla="*/ 10018 w 10018"/>
            <a:gd name="connsiteY3" fmla="*/ 25 h 10000"/>
            <a:gd name="connsiteX4" fmla="*/ 9992 w 10018"/>
            <a:gd name="connsiteY4" fmla="*/ 10000 h 10000"/>
            <a:gd name="connsiteX0" fmla="*/ 10 w 10018"/>
            <a:gd name="connsiteY0" fmla="*/ 10018 h 10064"/>
            <a:gd name="connsiteX1" fmla="*/ 0 w 10018"/>
            <a:gd name="connsiteY1" fmla="*/ 8417 h 10064"/>
            <a:gd name="connsiteX2" fmla="*/ 5075 w 10018"/>
            <a:gd name="connsiteY2" fmla="*/ 0 h 10064"/>
            <a:gd name="connsiteX3" fmla="*/ 10018 w 10018"/>
            <a:gd name="connsiteY3" fmla="*/ 89 h 10064"/>
            <a:gd name="connsiteX4" fmla="*/ 9992 w 10018"/>
            <a:gd name="connsiteY4" fmla="*/ 10064 h 10064"/>
            <a:gd name="connsiteX0" fmla="*/ 10 w 10181"/>
            <a:gd name="connsiteY0" fmla="*/ 10018 h 10064"/>
            <a:gd name="connsiteX1" fmla="*/ 0 w 10181"/>
            <a:gd name="connsiteY1" fmla="*/ 8417 h 10064"/>
            <a:gd name="connsiteX2" fmla="*/ 5075 w 10181"/>
            <a:gd name="connsiteY2" fmla="*/ 0 h 10064"/>
            <a:gd name="connsiteX3" fmla="*/ 10181 w 10181"/>
            <a:gd name="connsiteY3" fmla="*/ 9 h 10064"/>
            <a:gd name="connsiteX4" fmla="*/ 9992 w 10181"/>
            <a:gd name="connsiteY4" fmla="*/ 10064 h 10064"/>
            <a:gd name="connsiteX0" fmla="*/ 10 w 10181"/>
            <a:gd name="connsiteY0" fmla="*/ 10018 h 10018"/>
            <a:gd name="connsiteX1" fmla="*/ 0 w 10181"/>
            <a:gd name="connsiteY1" fmla="*/ 8417 h 10018"/>
            <a:gd name="connsiteX2" fmla="*/ 5075 w 10181"/>
            <a:gd name="connsiteY2" fmla="*/ 0 h 10018"/>
            <a:gd name="connsiteX3" fmla="*/ 10181 w 10181"/>
            <a:gd name="connsiteY3" fmla="*/ 9 h 10018"/>
            <a:gd name="connsiteX4" fmla="*/ 10155 w 10181"/>
            <a:gd name="connsiteY4" fmla="*/ 10016 h 1001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181" h="10018">
              <a:moveTo>
                <a:pt x="10" y="10018"/>
              </a:moveTo>
              <a:cubicBezTo>
                <a:pt x="7" y="9484"/>
                <a:pt x="3" y="8951"/>
                <a:pt x="0" y="8417"/>
              </a:cubicBezTo>
              <a:lnTo>
                <a:pt x="5075" y="0"/>
              </a:lnTo>
              <a:lnTo>
                <a:pt x="10181" y="9"/>
              </a:lnTo>
              <a:cubicBezTo>
                <a:pt x="10172" y="3334"/>
                <a:pt x="10164" y="6691"/>
                <a:pt x="10155" y="10016"/>
              </a:cubicBezTo>
            </a:path>
          </a:pathLst>
        </a:custGeom>
        <a:noFill/>
        <a:ln w="19050" cmpd="sng">
          <a:solidFill>
            <a:srgbClr val="333333"/>
          </a:solidFill>
          <a:round/>
          <a:headEnd/>
          <a:tailEnd/>
        </a:ln>
      </xdr:spPr>
    </xdr:sp>
    <xdr:clientData/>
  </xdr:twoCellAnchor>
  <xdr:twoCellAnchor>
    <xdr:from>
      <xdr:col>11</xdr:col>
      <xdr:colOff>352425</xdr:colOff>
      <xdr:row>24</xdr:row>
      <xdr:rowOff>114300</xdr:rowOff>
    </xdr:from>
    <xdr:to>
      <xdr:col>13</xdr:col>
      <xdr:colOff>85725</xdr:colOff>
      <xdr:row>27</xdr:row>
      <xdr:rowOff>123825</xdr:rowOff>
    </xdr:to>
    <xdr:sp macro="" textlink="">
      <xdr:nvSpPr>
        <xdr:cNvPr id="4" name="Text Box 6">
          <a:extLst>
            <a:ext uri="{FF2B5EF4-FFF2-40B4-BE49-F238E27FC236}">
              <a16:creationId xmlns:a16="http://schemas.microsoft.com/office/drawing/2014/main" id="{00000000-0008-0000-1300-000004000000}"/>
            </a:ext>
          </a:extLst>
        </xdr:cNvPr>
        <xdr:cNvSpPr txBox="1">
          <a:spLocks noChangeArrowheads="1"/>
        </xdr:cNvSpPr>
      </xdr:nvSpPr>
      <xdr:spPr bwMode="auto">
        <a:xfrm>
          <a:off x="4200525" y="4640580"/>
          <a:ext cx="1150620" cy="49720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1000" b="1" i="1" u="none" strike="noStrike" baseline="0">
              <a:solidFill>
                <a:srgbClr val="000000"/>
              </a:solidFill>
              <a:latin typeface="Arial"/>
              <a:cs typeface="Arial"/>
            </a:rPr>
            <a:t>Loading </a:t>
          </a:r>
        </a:p>
        <a:p>
          <a:pPr algn="ctr" rtl="0">
            <a:defRPr sz="1000"/>
          </a:pPr>
          <a:r>
            <a:rPr lang="en-US" sz="1000" b="1" i="1" u="none" strike="noStrike" baseline="0">
              <a:solidFill>
                <a:srgbClr val="000000"/>
              </a:solidFill>
              <a:latin typeface="Arial"/>
              <a:cs typeface="Arial"/>
            </a:rPr>
            <a:t>Limits </a:t>
          </a:r>
        </a:p>
        <a:p>
          <a:pPr algn="ctr" rtl="0">
            <a:defRPr sz="1000"/>
          </a:pPr>
          <a:r>
            <a:rPr lang="en-US" sz="1000" b="1" i="1" u="none" strike="noStrike" baseline="0">
              <a:solidFill>
                <a:srgbClr val="000000"/>
              </a:solidFill>
              <a:latin typeface="Arial"/>
              <a:cs typeface="Arial"/>
            </a:rPr>
            <a:t>Gippsland GA-8</a:t>
          </a:r>
        </a:p>
      </xdr:txBody>
    </xdr:sp>
    <xdr:clientData/>
  </xdr:twoCellAnchor>
  <xdr:twoCellAnchor>
    <xdr:from>
      <xdr:col>1</xdr:col>
      <xdr:colOff>899160</xdr:colOff>
      <xdr:row>5</xdr:row>
      <xdr:rowOff>1906</xdr:rowOff>
    </xdr:from>
    <xdr:to>
      <xdr:col>8</xdr:col>
      <xdr:colOff>22860</xdr:colOff>
      <xdr:row>16</xdr:row>
      <xdr:rowOff>30481</xdr:rowOff>
    </xdr:to>
    <xdr:grpSp>
      <xdr:nvGrpSpPr>
        <xdr:cNvPr id="5" name="Group 67">
          <a:extLst>
            <a:ext uri="{FF2B5EF4-FFF2-40B4-BE49-F238E27FC236}">
              <a16:creationId xmlns:a16="http://schemas.microsoft.com/office/drawing/2014/main" id="{00000000-0008-0000-1300-000005000000}"/>
            </a:ext>
          </a:extLst>
        </xdr:cNvPr>
        <xdr:cNvGrpSpPr>
          <a:grpSpLocks/>
        </xdr:cNvGrpSpPr>
      </xdr:nvGrpSpPr>
      <xdr:grpSpPr bwMode="auto">
        <a:xfrm>
          <a:off x="984885" y="1030606"/>
          <a:ext cx="1695450" cy="2095500"/>
          <a:chOff x="106" y="42"/>
          <a:chExt cx="124" cy="229"/>
        </a:xfrm>
      </xdr:grpSpPr>
      <xdr:sp macro="" textlink="">
        <xdr:nvSpPr>
          <xdr:cNvPr id="6" name="Freeform 16">
            <a:extLst>
              <a:ext uri="{FF2B5EF4-FFF2-40B4-BE49-F238E27FC236}">
                <a16:creationId xmlns:a16="http://schemas.microsoft.com/office/drawing/2014/main" id="{00000000-0008-0000-1300-000006000000}"/>
              </a:ext>
            </a:extLst>
          </xdr:cNvPr>
          <xdr:cNvSpPr>
            <a:spLocks/>
          </xdr:cNvSpPr>
        </xdr:nvSpPr>
        <xdr:spPr bwMode="auto">
          <a:xfrm>
            <a:off x="106" y="58"/>
            <a:ext cx="7" cy="213"/>
          </a:xfrm>
          <a:custGeom>
            <a:avLst/>
            <a:gdLst>
              <a:gd name="T0" fmla="*/ 1 w 7"/>
              <a:gd name="T1" fmla="*/ 0 h 213"/>
              <a:gd name="T2" fmla="*/ 1 w 7"/>
              <a:gd name="T3" fmla="*/ 132 h 213"/>
              <a:gd name="T4" fmla="*/ 7 w 7"/>
              <a:gd name="T5" fmla="*/ 213 h 213"/>
              <a:gd name="T6" fmla="*/ 0 60000 65536"/>
              <a:gd name="T7" fmla="*/ 0 60000 65536"/>
              <a:gd name="T8" fmla="*/ 0 60000 65536"/>
              <a:gd name="T9" fmla="*/ 0 w 7"/>
              <a:gd name="T10" fmla="*/ 0 h 213"/>
              <a:gd name="T11" fmla="*/ 7 w 7"/>
              <a:gd name="T12" fmla="*/ 213 h 213"/>
            </a:gdLst>
            <a:ahLst/>
            <a:cxnLst>
              <a:cxn ang="T6">
                <a:pos x="T0" y="T1"/>
              </a:cxn>
              <a:cxn ang="T7">
                <a:pos x="T2" y="T3"/>
              </a:cxn>
              <a:cxn ang="T8">
                <a:pos x="T4" y="T5"/>
              </a:cxn>
            </a:cxnLst>
            <a:rect l="T9" t="T10" r="T11" b="T12"/>
            <a:pathLst>
              <a:path w="7" h="213">
                <a:moveTo>
                  <a:pt x="1" y="0"/>
                </a:moveTo>
                <a:cubicBezTo>
                  <a:pt x="1" y="22"/>
                  <a:pt x="0" y="97"/>
                  <a:pt x="1" y="132"/>
                </a:cubicBezTo>
                <a:cubicBezTo>
                  <a:pt x="2" y="167"/>
                  <a:pt x="6" y="196"/>
                  <a:pt x="7" y="213"/>
                </a:cubicBezTo>
              </a:path>
            </a:pathLst>
          </a:custGeom>
          <a:noFill/>
          <a:ln w="28575" cmpd="sng">
            <a:solidFill>
              <a:srgbClr val="C0C0C0"/>
            </a:solidFill>
            <a:round/>
            <a:headEnd type="none" w="med" len="med"/>
            <a:tailEnd type="none" w="med" len="med"/>
          </a:ln>
        </xdr:spPr>
      </xdr:sp>
      <xdr:sp macro="" textlink="">
        <xdr:nvSpPr>
          <xdr:cNvPr id="7" name="Freeform 17">
            <a:extLst>
              <a:ext uri="{FF2B5EF4-FFF2-40B4-BE49-F238E27FC236}">
                <a16:creationId xmlns:a16="http://schemas.microsoft.com/office/drawing/2014/main" id="{00000000-0008-0000-1300-000007000000}"/>
              </a:ext>
            </a:extLst>
          </xdr:cNvPr>
          <xdr:cNvSpPr>
            <a:spLocks/>
          </xdr:cNvSpPr>
        </xdr:nvSpPr>
        <xdr:spPr bwMode="auto">
          <a:xfrm flipH="1">
            <a:off x="223" y="42"/>
            <a:ext cx="7" cy="229"/>
          </a:xfrm>
          <a:custGeom>
            <a:avLst/>
            <a:gdLst>
              <a:gd name="T0" fmla="*/ 1 w 7"/>
              <a:gd name="T1" fmla="*/ 0 h 173"/>
              <a:gd name="T2" fmla="*/ 1 w 7"/>
              <a:gd name="T3" fmla="*/ 1546243 h 173"/>
              <a:gd name="T4" fmla="*/ 7 w 7"/>
              <a:gd name="T5" fmla="*/ 2393455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grpSp>
    <xdr:clientData/>
  </xdr:twoCellAnchor>
  <xdr:oneCellAnchor>
    <xdr:from>
      <xdr:col>10</xdr:col>
      <xdr:colOff>962025</xdr:colOff>
      <xdr:row>29</xdr:row>
      <xdr:rowOff>9525</xdr:rowOff>
    </xdr:from>
    <xdr:ext cx="161925" cy="857250"/>
    <xdr:sp macro="" textlink="">
      <xdr:nvSpPr>
        <xdr:cNvPr id="8" name="Text Box 299">
          <a:extLst>
            <a:ext uri="{FF2B5EF4-FFF2-40B4-BE49-F238E27FC236}">
              <a16:creationId xmlns:a16="http://schemas.microsoft.com/office/drawing/2014/main" id="{00000000-0008-0000-1300-000008000000}"/>
            </a:ext>
          </a:extLst>
        </xdr:cNvPr>
        <xdr:cNvSpPr txBox="1">
          <a:spLocks noChangeArrowheads="1"/>
        </xdr:cNvSpPr>
      </xdr:nvSpPr>
      <xdr:spPr bwMode="auto">
        <a:xfrm>
          <a:off x="3507105" y="534352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13</xdr:col>
      <xdr:colOff>390525</xdr:colOff>
      <xdr:row>22</xdr:row>
      <xdr:rowOff>19050</xdr:rowOff>
    </xdr:from>
    <xdr:ext cx="704850" cy="161925"/>
    <xdr:sp macro="" textlink="">
      <xdr:nvSpPr>
        <xdr:cNvPr id="9" name="Text Box 300">
          <a:extLst>
            <a:ext uri="{FF2B5EF4-FFF2-40B4-BE49-F238E27FC236}">
              <a16:creationId xmlns:a16="http://schemas.microsoft.com/office/drawing/2014/main" id="{00000000-0008-0000-1300-000009000000}"/>
            </a:ext>
          </a:extLst>
        </xdr:cNvPr>
        <xdr:cNvSpPr txBox="1">
          <a:spLocks noChangeArrowheads="1"/>
        </xdr:cNvSpPr>
      </xdr:nvSpPr>
      <xdr:spPr bwMode="auto">
        <a:xfrm>
          <a:off x="5655945" y="4202430"/>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14</xdr:col>
      <xdr:colOff>1695450</xdr:colOff>
      <xdr:row>1</xdr:row>
      <xdr:rowOff>47625</xdr:rowOff>
    </xdr:from>
    <xdr:to>
      <xdr:col>14</xdr:col>
      <xdr:colOff>2419350</xdr:colOff>
      <xdr:row>5</xdr:row>
      <xdr:rowOff>53340</xdr:rowOff>
    </xdr:to>
    <xdr:pic>
      <xdr:nvPicPr>
        <xdr:cNvPr id="10" name="Picture 321" descr="CAP-LOGO-1">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76210" y="329565"/>
          <a:ext cx="723900" cy="729615"/>
        </a:xfrm>
        <a:prstGeom prst="rect">
          <a:avLst/>
        </a:prstGeom>
        <a:noFill/>
        <a:ln w="9525">
          <a:noFill/>
          <a:miter lim="800000"/>
          <a:headEnd/>
          <a:tailEnd/>
        </a:ln>
      </xdr:spPr>
    </xdr:pic>
    <xdr:clientData/>
  </xdr:twoCellAnchor>
  <xdr:twoCellAnchor>
    <xdr:from>
      <xdr:col>28</xdr:col>
      <xdr:colOff>57150</xdr:colOff>
      <xdr:row>6</xdr:row>
      <xdr:rowOff>9525</xdr:rowOff>
    </xdr:from>
    <xdr:to>
      <xdr:col>29</xdr:col>
      <xdr:colOff>552450</xdr:colOff>
      <xdr:row>13</xdr:row>
      <xdr:rowOff>85725</xdr:rowOff>
    </xdr:to>
    <xdr:sp macro="" textlink="">
      <xdr:nvSpPr>
        <xdr:cNvPr id="11" name="Freeform 26">
          <a:extLst>
            <a:ext uri="{FF2B5EF4-FFF2-40B4-BE49-F238E27FC236}">
              <a16:creationId xmlns:a16="http://schemas.microsoft.com/office/drawing/2014/main" id="{00000000-0008-0000-1300-00000B000000}"/>
            </a:ext>
          </a:extLst>
        </xdr:cNvPr>
        <xdr:cNvSpPr>
          <a:spLocks/>
        </xdr:cNvSpPr>
      </xdr:nvSpPr>
      <xdr:spPr bwMode="auto">
        <a:xfrm>
          <a:off x="17689830" y="1152525"/>
          <a:ext cx="111252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480192 w 1247775"/>
            <a:gd name="connsiteY2" fmla="*/ 0 h 1152525"/>
            <a:gd name="connsiteX3" fmla="*/ 1247775 w 1247775"/>
            <a:gd name="connsiteY3" fmla="*/ 0 h 1152525"/>
            <a:gd name="connsiteX4" fmla="*/ 1238250 w 1247775"/>
            <a:gd name="connsiteY4" fmla="*/ 1133475 h 11525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33</xdr:col>
      <xdr:colOff>57150</xdr:colOff>
      <xdr:row>6</xdr:row>
      <xdr:rowOff>66675</xdr:rowOff>
    </xdr:from>
    <xdr:to>
      <xdr:col>34</xdr:col>
      <xdr:colOff>600075</xdr:colOff>
      <xdr:row>13</xdr:row>
      <xdr:rowOff>142875</xdr:rowOff>
    </xdr:to>
    <xdr:sp macro="" textlink="">
      <xdr:nvSpPr>
        <xdr:cNvPr id="12" name="Freeform 28">
          <a:extLst>
            <a:ext uri="{FF2B5EF4-FFF2-40B4-BE49-F238E27FC236}">
              <a16:creationId xmlns:a16="http://schemas.microsoft.com/office/drawing/2014/main" id="{00000000-0008-0000-1300-00000C000000}"/>
            </a:ext>
          </a:extLst>
        </xdr:cNvPr>
        <xdr:cNvSpPr>
          <a:spLocks/>
        </xdr:cNvSpPr>
      </xdr:nvSpPr>
      <xdr:spPr bwMode="auto">
        <a:xfrm>
          <a:off x="20775930" y="1209675"/>
          <a:ext cx="116014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6476 w 1247775"/>
            <a:gd name="connsiteY2" fmla="*/ 256982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42487 w 1247775"/>
            <a:gd name="connsiteY2" fmla="*/ 207143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480192 w 1247775"/>
            <a:gd name="connsiteY2" fmla="*/ 0 h 1152525"/>
            <a:gd name="connsiteX3" fmla="*/ 1247775 w 1247775"/>
            <a:gd name="connsiteY3" fmla="*/ 0 h 1152525"/>
            <a:gd name="connsiteX4" fmla="*/ 1238250 w 1247775"/>
            <a:gd name="connsiteY4" fmla="*/ 1133475 h 11525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28</xdr:col>
      <xdr:colOff>22860</xdr:colOff>
      <xdr:row>30</xdr:row>
      <xdr:rowOff>30479</xdr:rowOff>
    </xdr:from>
    <xdr:to>
      <xdr:col>29</xdr:col>
      <xdr:colOff>560070</xdr:colOff>
      <xdr:row>38</xdr:row>
      <xdr:rowOff>32384</xdr:rowOff>
    </xdr:to>
    <xdr:sp macro="" textlink="">
      <xdr:nvSpPr>
        <xdr:cNvPr id="13" name="Freeform 26">
          <a:extLst>
            <a:ext uri="{FF2B5EF4-FFF2-40B4-BE49-F238E27FC236}">
              <a16:creationId xmlns:a16="http://schemas.microsoft.com/office/drawing/2014/main" id="{00000000-0008-0000-1300-00000D000000}"/>
            </a:ext>
          </a:extLst>
        </xdr:cNvPr>
        <xdr:cNvSpPr>
          <a:spLocks/>
        </xdr:cNvSpPr>
      </xdr:nvSpPr>
      <xdr:spPr bwMode="auto">
        <a:xfrm>
          <a:off x="17655540" y="5524499"/>
          <a:ext cx="1154430" cy="1396365"/>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480192 w 1247775"/>
            <a:gd name="connsiteY2" fmla="*/ 0 h 1152525"/>
            <a:gd name="connsiteX3" fmla="*/ 1247775 w 1247775"/>
            <a:gd name="connsiteY3" fmla="*/ 0 h 1152525"/>
            <a:gd name="connsiteX4" fmla="*/ 1238250 w 1247775"/>
            <a:gd name="connsiteY4" fmla="*/ 1133475 h 11525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33</xdr:col>
      <xdr:colOff>26670</xdr:colOff>
      <xdr:row>30</xdr:row>
      <xdr:rowOff>40005</xdr:rowOff>
    </xdr:from>
    <xdr:to>
      <xdr:col>34</xdr:col>
      <xdr:colOff>521970</xdr:colOff>
      <xdr:row>38</xdr:row>
      <xdr:rowOff>62865</xdr:rowOff>
    </xdr:to>
    <xdr:sp macro="" textlink="">
      <xdr:nvSpPr>
        <xdr:cNvPr id="14" name="Freeform 26">
          <a:extLst>
            <a:ext uri="{FF2B5EF4-FFF2-40B4-BE49-F238E27FC236}">
              <a16:creationId xmlns:a16="http://schemas.microsoft.com/office/drawing/2014/main" id="{00000000-0008-0000-1300-00000E000000}"/>
            </a:ext>
          </a:extLst>
        </xdr:cNvPr>
        <xdr:cNvSpPr>
          <a:spLocks/>
        </xdr:cNvSpPr>
      </xdr:nvSpPr>
      <xdr:spPr bwMode="auto">
        <a:xfrm>
          <a:off x="20745450" y="5534025"/>
          <a:ext cx="1112520" cy="141732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480192 w 1247775"/>
            <a:gd name="connsiteY2" fmla="*/ 0 h 1152525"/>
            <a:gd name="connsiteX3" fmla="*/ 1247775 w 1247775"/>
            <a:gd name="connsiteY3" fmla="*/ 0 h 1152525"/>
            <a:gd name="connsiteX4" fmla="*/ 1238250 w 1247775"/>
            <a:gd name="connsiteY4" fmla="*/ 1133475 h 11525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oneCellAnchor>
    <xdr:from>
      <xdr:col>1</xdr:col>
      <xdr:colOff>15240</xdr:colOff>
      <xdr:row>16</xdr:row>
      <xdr:rowOff>0</xdr:rowOff>
    </xdr:from>
    <xdr:ext cx="370486" cy="180819"/>
    <xdr:sp macro="" textlink="">
      <xdr:nvSpPr>
        <xdr:cNvPr id="15" name="TextBox 14">
          <a:extLst>
            <a:ext uri="{FF2B5EF4-FFF2-40B4-BE49-F238E27FC236}">
              <a16:creationId xmlns:a16="http://schemas.microsoft.com/office/drawing/2014/main" id="{00000000-0008-0000-1300-00000F000000}"/>
            </a:ext>
          </a:extLst>
        </xdr:cNvPr>
        <xdr:cNvSpPr txBox="1"/>
      </xdr:nvSpPr>
      <xdr:spPr>
        <a:xfrm>
          <a:off x="106680" y="3048000"/>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17</xdr:col>
      <xdr:colOff>76200</xdr:colOff>
      <xdr:row>2</xdr:row>
      <xdr:rowOff>152400</xdr:rowOff>
    </xdr:from>
    <xdr:to>
      <xdr:col>17</xdr:col>
      <xdr:colOff>344799</xdr:colOff>
      <xdr:row>4</xdr:row>
      <xdr:rowOff>34407</xdr:rowOff>
    </xdr:to>
    <xdr:sp macro="" textlink="">
      <xdr:nvSpPr>
        <xdr:cNvPr id="16" name="Freeform 15">
          <a:extLst>
            <a:ext uri="{FF2B5EF4-FFF2-40B4-BE49-F238E27FC236}">
              <a16:creationId xmlns:a16="http://schemas.microsoft.com/office/drawing/2014/main" id="{00000000-0008-0000-1300-000010000000}"/>
            </a:ext>
          </a:extLst>
        </xdr:cNvPr>
        <xdr:cNvSpPr/>
      </xdr:nvSpPr>
      <xdr:spPr bwMode="auto">
        <a:xfrm>
          <a:off x="9334500" y="624840"/>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mc:AlternateContent xmlns:mc="http://schemas.openxmlformats.org/markup-compatibility/2006">
    <mc:Choice xmlns:a14="http://schemas.microsoft.com/office/drawing/2010/main" Requires="a14">
      <xdr:twoCellAnchor editAs="oneCell">
        <xdr:from>
          <xdr:col>7</xdr:col>
          <xdr:colOff>28575</xdr:colOff>
          <xdr:row>7</xdr:row>
          <xdr:rowOff>19050</xdr:rowOff>
        </xdr:from>
        <xdr:to>
          <xdr:col>7</xdr:col>
          <xdr:colOff>190500</xdr:colOff>
          <xdr:row>7</xdr:row>
          <xdr:rowOff>180975</xdr:rowOff>
        </xdr:to>
        <xdr:sp macro="" textlink="">
          <xdr:nvSpPr>
            <xdr:cNvPr id="1205255" name="CheckBox2" hidden="1">
              <a:extLst>
                <a:ext uri="{63B3BB69-23CF-44E3-9099-C40C66FF867C}">
                  <a14:compatExt spid="_x0000_s1205255"/>
                </a:ext>
                <a:ext uri="{FF2B5EF4-FFF2-40B4-BE49-F238E27FC236}">
                  <a16:creationId xmlns:a16="http://schemas.microsoft.com/office/drawing/2014/main" id="{00000000-0008-0000-1300-00000764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180975</xdr:colOff>
          <xdr:row>9</xdr:row>
          <xdr:rowOff>180975</xdr:rowOff>
        </xdr:to>
        <xdr:sp macro="" textlink="">
          <xdr:nvSpPr>
            <xdr:cNvPr id="1205256" name="CheckBox3" hidden="1">
              <a:extLst>
                <a:ext uri="{63B3BB69-23CF-44E3-9099-C40C66FF867C}">
                  <a14:compatExt spid="_x0000_s1205256"/>
                </a:ext>
                <a:ext uri="{FF2B5EF4-FFF2-40B4-BE49-F238E27FC236}">
                  <a16:creationId xmlns:a16="http://schemas.microsoft.com/office/drawing/2014/main" id="{00000000-0008-0000-1300-00000864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180975</xdr:rowOff>
        </xdr:from>
        <xdr:to>
          <xdr:col>7</xdr:col>
          <xdr:colOff>180975</xdr:colOff>
          <xdr:row>11</xdr:row>
          <xdr:rowOff>152400</xdr:rowOff>
        </xdr:to>
        <xdr:sp macro="" textlink="">
          <xdr:nvSpPr>
            <xdr:cNvPr id="1205257" name="CheckBox4" hidden="1">
              <a:extLst>
                <a:ext uri="{63B3BB69-23CF-44E3-9099-C40C66FF867C}">
                  <a14:compatExt spid="_x0000_s1205257"/>
                </a:ext>
                <a:ext uri="{FF2B5EF4-FFF2-40B4-BE49-F238E27FC236}">
                  <a16:creationId xmlns:a16="http://schemas.microsoft.com/office/drawing/2014/main" id="{00000000-0008-0000-1300-00000964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0</xdr:rowOff>
        </xdr:from>
        <xdr:to>
          <xdr:col>7</xdr:col>
          <xdr:colOff>180975</xdr:colOff>
          <xdr:row>13</xdr:row>
          <xdr:rowOff>161925</xdr:rowOff>
        </xdr:to>
        <xdr:sp macro="" textlink="">
          <xdr:nvSpPr>
            <xdr:cNvPr id="1205258" name="CheckBox5" hidden="1">
              <a:extLst>
                <a:ext uri="{63B3BB69-23CF-44E3-9099-C40C66FF867C}">
                  <a14:compatExt spid="_x0000_s1205258"/>
                </a:ext>
                <a:ext uri="{FF2B5EF4-FFF2-40B4-BE49-F238E27FC236}">
                  <a16:creationId xmlns:a16="http://schemas.microsoft.com/office/drawing/2014/main" id="{00000000-0008-0000-1300-00000A64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19050</xdr:rowOff>
        </xdr:from>
        <xdr:to>
          <xdr:col>4</xdr:col>
          <xdr:colOff>180975</xdr:colOff>
          <xdr:row>9</xdr:row>
          <xdr:rowOff>180975</xdr:rowOff>
        </xdr:to>
        <xdr:sp macro="" textlink="">
          <xdr:nvSpPr>
            <xdr:cNvPr id="1205259" name="CheckBox6" hidden="1">
              <a:extLst>
                <a:ext uri="{63B3BB69-23CF-44E3-9099-C40C66FF867C}">
                  <a14:compatExt spid="_x0000_s1205259"/>
                </a:ext>
                <a:ext uri="{FF2B5EF4-FFF2-40B4-BE49-F238E27FC236}">
                  <a16:creationId xmlns:a16="http://schemas.microsoft.com/office/drawing/2014/main" id="{00000000-0008-0000-1300-00000B64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9525</xdr:rowOff>
        </xdr:from>
        <xdr:to>
          <xdr:col>4</xdr:col>
          <xdr:colOff>171450</xdr:colOff>
          <xdr:row>11</xdr:row>
          <xdr:rowOff>171450</xdr:rowOff>
        </xdr:to>
        <xdr:sp macro="" textlink="">
          <xdr:nvSpPr>
            <xdr:cNvPr id="1205260" name="CheckBox7" hidden="1">
              <a:extLst>
                <a:ext uri="{63B3BB69-23CF-44E3-9099-C40C66FF867C}">
                  <a14:compatExt spid="_x0000_s1205260"/>
                </a:ext>
                <a:ext uri="{FF2B5EF4-FFF2-40B4-BE49-F238E27FC236}">
                  <a16:creationId xmlns:a16="http://schemas.microsoft.com/office/drawing/2014/main" id="{00000000-0008-0000-1300-00000C64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180975</xdr:rowOff>
        </xdr:from>
        <xdr:to>
          <xdr:col>4</xdr:col>
          <xdr:colOff>171450</xdr:colOff>
          <xdr:row>13</xdr:row>
          <xdr:rowOff>152400</xdr:rowOff>
        </xdr:to>
        <xdr:sp macro="" textlink="">
          <xdr:nvSpPr>
            <xdr:cNvPr id="1205261" name="CheckBox8" hidden="1">
              <a:extLst>
                <a:ext uri="{63B3BB69-23CF-44E3-9099-C40C66FF867C}">
                  <a14:compatExt spid="_x0000_s1205261"/>
                </a:ext>
                <a:ext uri="{FF2B5EF4-FFF2-40B4-BE49-F238E27FC236}">
                  <a16:creationId xmlns:a16="http://schemas.microsoft.com/office/drawing/2014/main" id="{00000000-0008-0000-1300-00000D64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1028700</xdr:colOff>
      <xdr:row>21</xdr:row>
      <xdr:rowOff>114300</xdr:rowOff>
    </xdr:from>
    <xdr:to>
      <xdr:col>13</xdr:col>
      <xdr:colOff>57150</xdr:colOff>
      <xdr:row>49</xdr:row>
      <xdr:rowOff>57150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630174</xdr:colOff>
      <xdr:row>25</xdr:row>
      <xdr:rowOff>51038</xdr:rowOff>
    </xdr:from>
    <xdr:to>
      <xdr:col>12</xdr:col>
      <xdr:colOff>2112047</xdr:colOff>
      <xdr:row>47</xdr:row>
      <xdr:rowOff>144649</xdr:rowOff>
    </xdr:to>
    <xdr:sp macro="" textlink="">
      <xdr:nvSpPr>
        <xdr:cNvPr id="3" name="Freeform 2">
          <a:extLst>
            <a:ext uri="{FF2B5EF4-FFF2-40B4-BE49-F238E27FC236}">
              <a16:creationId xmlns:a16="http://schemas.microsoft.com/office/drawing/2014/main" id="{00000000-0008-0000-0200-000003000000}"/>
            </a:ext>
          </a:extLst>
        </xdr:cNvPr>
        <xdr:cNvSpPr>
          <a:spLocks/>
        </xdr:cNvSpPr>
      </xdr:nvSpPr>
      <xdr:spPr bwMode="auto">
        <a:xfrm>
          <a:off x="4373499" y="4699238"/>
          <a:ext cx="3644048" cy="3913136"/>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63 w 10000"/>
            <a:gd name="connsiteY0" fmla="*/ 10052 h 10052"/>
            <a:gd name="connsiteX1" fmla="*/ 0 w 10000"/>
            <a:gd name="connsiteY1" fmla="*/ 5692 h 10052"/>
            <a:gd name="connsiteX2" fmla="*/ 4802 w 10000"/>
            <a:gd name="connsiteY2" fmla="*/ 26 h 10052"/>
            <a:gd name="connsiteX3" fmla="*/ 9921 w 10000"/>
            <a:gd name="connsiteY3" fmla="*/ 0 h 10052"/>
            <a:gd name="connsiteX4" fmla="*/ 10000 w 10000"/>
            <a:gd name="connsiteY4" fmla="*/ 10000 h 10052"/>
            <a:gd name="connsiteX0" fmla="*/ 14 w 9951"/>
            <a:gd name="connsiteY0" fmla="*/ 10052 h 10052"/>
            <a:gd name="connsiteX1" fmla="*/ 0 w 9951"/>
            <a:gd name="connsiteY1" fmla="*/ 5737 h 10052"/>
            <a:gd name="connsiteX2" fmla="*/ 4753 w 9951"/>
            <a:gd name="connsiteY2" fmla="*/ 26 h 10052"/>
            <a:gd name="connsiteX3" fmla="*/ 9872 w 9951"/>
            <a:gd name="connsiteY3" fmla="*/ 0 h 10052"/>
            <a:gd name="connsiteX4" fmla="*/ 9951 w 9951"/>
            <a:gd name="connsiteY4" fmla="*/ 10000 h 10052"/>
            <a:gd name="connsiteX0" fmla="*/ 14 w 10000"/>
            <a:gd name="connsiteY0" fmla="*/ 10000 h 10000"/>
            <a:gd name="connsiteX1" fmla="*/ 0 w 10000"/>
            <a:gd name="connsiteY1" fmla="*/ 5707 h 10000"/>
            <a:gd name="connsiteX2" fmla="*/ 4974 w 10000"/>
            <a:gd name="connsiteY2" fmla="*/ 0 h 10000"/>
            <a:gd name="connsiteX3" fmla="*/ 9921 w 10000"/>
            <a:gd name="connsiteY3" fmla="*/ 0 h 10000"/>
            <a:gd name="connsiteX4" fmla="*/ 10000 w 10000"/>
            <a:gd name="connsiteY4" fmla="*/ 9948 h 10000"/>
            <a:gd name="connsiteX0" fmla="*/ 14 w 9927"/>
            <a:gd name="connsiteY0" fmla="*/ 10000 h 10000"/>
            <a:gd name="connsiteX1" fmla="*/ 0 w 9927"/>
            <a:gd name="connsiteY1" fmla="*/ 5707 h 10000"/>
            <a:gd name="connsiteX2" fmla="*/ 4974 w 9927"/>
            <a:gd name="connsiteY2" fmla="*/ 0 h 10000"/>
            <a:gd name="connsiteX3" fmla="*/ 9921 w 9927"/>
            <a:gd name="connsiteY3" fmla="*/ 0 h 10000"/>
            <a:gd name="connsiteX4" fmla="*/ 9915 w 9927"/>
            <a:gd name="connsiteY4" fmla="*/ 9987 h 10000"/>
            <a:gd name="connsiteX0" fmla="*/ 14 w 10209"/>
            <a:gd name="connsiteY0" fmla="*/ 10006 h 10006"/>
            <a:gd name="connsiteX1" fmla="*/ 0 w 10209"/>
            <a:gd name="connsiteY1" fmla="*/ 5713 h 10006"/>
            <a:gd name="connsiteX2" fmla="*/ 5011 w 10209"/>
            <a:gd name="connsiteY2" fmla="*/ 6 h 10006"/>
            <a:gd name="connsiteX3" fmla="*/ 10208 w 10209"/>
            <a:gd name="connsiteY3" fmla="*/ 0 h 10006"/>
            <a:gd name="connsiteX4" fmla="*/ 9988 w 10209"/>
            <a:gd name="connsiteY4" fmla="*/ 9993 h 10006"/>
            <a:gd name="connsiteX0" fmla="*/ 14 w 10213"/>
            <a:gd name="connsiteY0" fmla="*/ 10006 h 10019"/>
            <a:gd name="connsiteX1" fmla="*/ 0 w 10213"/>
            <a:gd name="connsiteY1" fmla="*/ 5713 h 10019"/>
            <a:gd name="connsiteX2" fmla="*/ 5011 w 10213"/>
            <a:gd name="connsiteY2" fmla="*/ 6 h 10019"/>
            <a:gd name="connsiteX3" fmla="*/ 10208 w 10213"/>
            <a:gd name="connsiteY3" fmla="*/ 0 h 10019"/>
            <a:gd name="connsiteX4" fmla="*/ 10188 w 10213"/>
            <a:gd name="connsiteY4" fmla="*/ 10019 h 10019"/>
            <a:gd name="connsiteX0" fmla="*/ 14 w 10224"/>
            <a:gd name="connsiteY0" fmla="*/ 10006 h 10006"/>
            <a:gd name="connsiteX1" fmla="*/ 0 w 10224"/>
            <a:gd name="connsiteY1" fmla="*/ 5713 h 10006"/>
            <a:gd name="connsiteX2" fmla="*/ 5011 w 10224"/>
            <a:gd name="connsiteY2" fmla="*/ 6 h 10006"/>
            <a:gd name="connsiteX3" fmla="*/ 10208 w 10224"/>
            <a:gd name="connsiteY3" fmla="*/ 0 h 10006"/>
            <a:gd name="connsiteX4" fmla="*/ 10224 w 10224"/>
            <a:gd name="connsiteY4" fmla="*/ 10000 h 10006"/>
            <a:gd name="connsiteX0" fmla="*/ 21 w 10231"/>
            <a:gd name="connsiteY0" fmla="*/ 10006 h 10006"/>
            <a:gd name="connsiteX1" fmla="*/ 0 w 10231"/>
            <a:gd name="connsiteY1" fmla="*/ 5771 h 10006"/>
            <a:gd name="connsiteX2" fmla="*/ 5018 w 10231"/>
            <a:gd name="connsiteY2" fmla="*/ 6 h 10006"/>
            <a:gd name="connsiteX3" fmla="*/ 10215 w 10231"/>
            <a:gd name="connsiteY3" fmla="*/ 0 h 10006"/>
            <a:gd name="connsiteX4" fmla="*/ 10231 w 10231"/>
            <a:gd name="connsiteY4" fmla="*/ 10000 h 10006"/>
            <a:gd name="connsiteX0" fmla="*/ 7 w 10217"/>
            <a:gd name="connsiteY0" fmla="*/ 10006 h 10006"/>
            <a:gd name="connsiteX1" fmla="*/ 0 w 10217"/>
            <a:gd name="connsiteY1" fmla="*/ 5797 h 10006"/>
            <a:gd name="connsiteX2" fmla="*/ 5004 w 10217"/>
            <a:gd name="connsiteY2" fmla="*/ 6 h 10006"/>
            <a:gd name="connsiteX3" fmla="*/ 10201 w 10217"/>
            <a:gd name="connsiteY3" fmla="*/ 0 h 10006"/>
            <a:gd name="connsiteX4" fmla="*/ 10217 w 10217"/>
            <a:gd name="connsiteY4" fmla="*/ 10000 h 10006"/>
            <a:gd name="connsiteX0" fmla="*/ 7 w 10217"/>
            <a:gd name="connsiteY0" fmla="*/ 10006 h 10006"/>
            <a:gd name="connsiteX1" fmla="*/ 0 w 10217"/>
            <a:gd name="connsiteY1" fmla="*/ 5797 h 10006"/>
            <a:gd name="connsiteX2" fmla="*/ 5011 w 10217"/>
            <a:gd name="connsiteY2" fmla="*/ 122 h 10006"/>
            <a:gd name="connsiteX3" fmla="*/ 10201 w 10217"/>
            <a:gd name="connsiteY3" fmla="*/ 0 h 10006"/>
            <a:gd name="connsiteX4" fmla="*/ 10217 w 10217"/>
            <a:gd name="connsiteY4" fmla="*/ 10000 h 10006"/>
            <a:gd name="connsiteX0" fmla="*/ 7 w 10222"/>
            <a:gd name="connsiteY0" fmla="*/ 9890 h 9890"/>
            <a:gd name="connsiteX1" fmla="*/ 0 w 10222"/>
            <a:gd name="connsiteY1" fmla="*/ 5681 h 9890"/>
            <a:gd name="connsiteX2" fmla="*/ 5011 w 10222"/>
            <a:gd name="connsiteY2" fmla="*/ 6 h 9890"/>
            <a:gd name="connsiteX3" fmla="*/ 10215 w 10222"/>
            <a:gd name="connsiteY3" fmla="*/ 0 h 9890"/>
            <a:gd name="connsiteX4" fmla="*/ 10217 w 10222"/>
            <a:gd name="connsiteY4" fmla="*/ 9884 h 9890"/>
            <a:gd name="connsiteX0" fmla="*/ 7 w 9995"/>
            <a:gd name="connsiteY0" fmla="*/ 10026 h 10026"/>
            <a:gd name="connsiteX1" fmla="*/ 0 w 9995"/>
            <a:gd name="connsiteY1" fmla="*/ 5770 h 10026"/>
            <a:gd name="connsiteX2" fmla="*/ 4902 w 9995"/>
            <a:gd name="connsiteY2" fmla="*/ 32 h 10026"/>
            <a:gd name="connsiteX3" fmla="*/ 9986 w 9995"/>
            <a:gd name="connsiteY3" fmla="*/ 0 h 10026"/>
            <a:gd name="connsiteX4" fmla="*/ 9995 w 9995"/>
            <a:gd name="connsiteY4" fmla="*/ 10020 h 10026"/>
            <a:gd name="connsiteX0" fmla="*/ 7 w 10000"/>
            <a:gd name="connsiteY0" fmla="*/ 9981 h 9981"/>
            <a:gd name="connsiteX1" fmla="*/ 0 w 10000"/>
            <a:gd name="connsiteY1" fmla="*/ 5736 h 9981"/>
            <a:gd name="connsiteX2" fmla="*/ 4904 w 10000"/>
            <a:gd name="connsiteY2" fmla="*/ 13 h 9981"/>
            <a:gd name="connsiteX3" fmla="*/ 9991 w 10000"/>
            <a:gd name="connsiteY3" fmla="*/ 0 h 9981"/>
            <a:gd name="connsiteX4" fmla="*/ 10000 w 10000"/>
            <a:gd name="connsiteY4" fmla="*/ 9975 h 998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9981">
              <a:moveTo>
                <a:pt x="7" y="9981"/>
              </a:moveTo>
              <a:cubicBezTo>
                <a:pt x="-14" y="8524"/>
                <a:pt x="21" y="7194"/>
                <a:pt x="0" y="5736"/>
              </a:cubicBezTo>
              <a:lnTo>
                <a:pt x="4904" y="13"/>
              </a:lnTo>
              <a:lnTo>
                <a:pt x="9991" y="0"/>
              </a:lnTo>
              <a:cubicBezTo>
                <a:pt x="10017" y="3344"/>
                <a:pt x="9975" y="6632"/>
                <a:pt x="10000" y="9975"/>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26</xdr:row>
      <xdr:rowOff>38100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4095750" y="4505325"/>
          <a:ext cx="1104900" cy="35242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C172 (180 HP)</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0200-000005000000}"/>
            </a:ext>
          </a:extLst>
        </xdr:cNvPr>
        <xdr:cNvGrpSpPr>
          <a:grpSpLocks/>
        </xdr:cNvGrpSpPr>
      </xdr:nvGrpSpPr>
      <xdr:grpSpPr bwMode="auto">
        <a:xfrm>
          <a:off x="1028700" y="990600"/>
          <a:ext cx="1152525" cy="1476375"/>
          <a:chOff x="108" y="43"/>
          <a:chExt cx="121" cy="163"/>
        </a:xfrm>
      </xdr:grpSpPr>
      <xdr:sp macro="" textlink="">
        <xdr:nvSpPr>
          <xdr:cNvPr id="6" name="Freeform 10">
            <a:extLst>
              <a:ext uri="{FF2B5EF4-FFF2-40B4-BE49-F238E27FC236}">
                <a16:creationId xmlns:a16="http://schemas.microsoft.com/office/drawing/2014/main" id="{00000000-0008-0000-02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02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0200-000008000000}"/>
            </a:ext>
          </a:extLst>
        </xdr:cNvPr>
        <xdr:cNvSpPr txBox="1">
          <a:spLocks noChangeArrowheads="1"/>
        </xdr:cNvSpPr>
      </xdr:nvSpPr>
      <xdr:spPr bwMode="auto">
        <a:xfrm>
          <a:off x="3438525" y="553402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0200-000009000000}"/>
            </a:ext>
          </a:extLst>
        </xdr:cNvPr>
        <xdr:cNvSpPr txBox="1">
          <a:spLocks noChangeArrowheads="1"/>
        </xdr:cNvSpPr>
      </xdr:nvSpPr>
      <xdr:spPr bwMode="auto">
        <a:xfrm>
          <a:off x="5657850" y="4038600"/>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9525" y="34290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0200-00000B000000}"/>
            </a:ext>
          </a:extLst>
        </xdr:cNvPr>
        <xdr:cNvSpPr>
          <a:spLocks/>
        </xdr:cNvSpPr>
      </xdr:nvSpPr>
      <xdr:spPr bwMode="auto">
        <a:xfrm>
          <a:off x="16983075" y="1524000"/>
          <a:ext cx="110490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0200-00000C000000}"/>
            </a:ext>
          </a:extLst>
        </xdr:cNvPr>
        <xdr:cNvSpPr>
          <a:spLocks/>
        </xdr:cNvSpPr>
      </xdr:nvSpPr>
      <xdr:spPr bwMode="auto">
        <a:xfrm>
          <a:off x="20031075" y="1581150"/>
          <a:ext cx="115252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57150</xdr:colOff>
      <xdr:row>32</xdr:row>
      <xdr:rowOff>47625</xdr:rowOff>
    </xdr:from>
    <xdr:to>
      <xdr:col>27</xdr:col>
      <xdr:colOff>552450</xdr:colOff>
      <xdr:row>39</xdr:row>
      <xdr:rowOff>133350</xdr:rowOff>
    </xdr:to>
    <xdr:sp macro="" textlink="">
      <xdr:nvSpPr>
        <xdr:cNvPr id="13" name="Freeform 13">
          <a:extLst>
            <a:ext uri="{FF2B5EF4-FFF2-40B4-BE49-F238E27FC236}">
              <a16:creationId xmlns:a16="http://schemas.microsoft.com/office/drawing/2014/main" id="{00000000-0008-0000-0200-00000D000000}"/>
            </a:ext>
          </a:extLst>
        </xdr:cNvPr>
        <xdr:cNvSpPr>
          <a:spLocks/>
        </xdr:cNvSpPr>
      </xdr:nvSpPr>
      <xdr:spPr bwMode="auto">
        <a:xfrm>
          <a:off x="16983075" y="5943600"/>
          <a:ext cx="1104900" cy="1276350"/>
        </a:xfrm>
        <a:custGeom>
          <a:avLst/>
          <a:gdLst>
            <a:gd name="T0" fmla="*/ 0 w 1247775"/>
            <a:gd name="T1" fmla="*/ 1454549 h 1152525"/>
            <a:gd name="T2" fmla="*/ 5856 w 1247775"/>
            <a:gd name="T3" fmla="*/ 685202 h 1152525"/>
            <a:gd name="T4" fmla="*/ 295231 w 1247775"/>
            <a:gd name="T5" fmla="*/ 0 h 1152525"/>
            <a:gd name="T6" fmla="*/ 767155 w 1247775"/>
            <a:gd name="T7" fmla="*/ 0 h 1152525"/>
            <a:gd name="T8" fmla="*/ 761299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32</xdr:row>
      <xdr:rowOff>60960</xdr:rowOff>
    </xdr:from>
    <xdr:to>
      <xdr:col>32</xdr:col>
      <xdr:colOff>600075</xdr:colOff>
      <xdr:row>40</xdr:row>
      <xdr:rowOff>28575</xdr:rowOff>
    </xdr:to>
    <xdr:sp macro="" textlink="">
      <xdr:nvSpPr>
        <xdr:cNvPr id="14" name="Freeform 16">
          <a:extLst>
            <a:ext uri="{FF2B5EF4-FFF2-40B4-BE49-F238E27FC236}">
              <a16:creationId xmlns:a16="http://schemas.microsoft.com/office/drawing/2014/main" id="{00000000-0008-0000-0200-00000E000000}"/>
            </a:ext>
          </a:extLst>
        </xdr:cNvPr>
        <xdr:cNvSpPr>
          <a:spLocks/>
        </xdr:cNvSpPr>
      </xdr:nvSpPr>
      <xdr:spPr bwMode="auto">
        <a:xfrm>
          <a:off x="20031075" y="5956935"/>
          <a:ext cx="1152525" cy="1320165"/>
        </a:xfrm>
        <a:custGeom>
          <a:avLst/>
          <a:gdLst>
            <a:gd name="T0" fmla="*/ 0 w 1247775"/>
            <a:gd name="T1" fmla="*/ 1454549 h 1152525"/>
            <a:gd name="T2" fmla="*/ 6933 w 1247775"/>
            <a:gd name="T3" fmla="*/ 685202 h 1152525"/>
            <a:gd name="T4" fmla="*/ 349519 w 1247775"/>
            <a:gd name="T5" fmla="*/ 0 h 1152525"/>
            <a:gd name="T6" fmla="*/ 908224 w 1247775"/>
            <a:gd name="T7" fmla="*/ 0 h 1152525"/>
            <a:gd name="T8" fmla="*/ 901291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oneCellAnchor>
    <xdr:from>
      <xdr:col>1</xdr:col>
      <xdr:colOff>0</xdr:colOff>
      <xdr:row>13</xdr:row>
      <xdr:rowOff>0</xdr:rowOff>
    </xdr:from>
    <xdr:ext cx="370486" cy="180819"/>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85725" y="2466975"/>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15</xdr:col>
      <xdr:colOff>74254</xdr:colOff>
      <xdr:row>2</xdr:row>
      <xdr:rowOff>161715</xdr:rowOff>
    </xdr:from>
    <xdr:to>
      <xdr:col>15</xdr:col>
      <xdr:colOff>342853</xdr:colOff>
      <xdr:row>4</xdr:row>
      <xdr:rowOff>81822</xdr:rowOff>
    </xdr:to>
    <xdr:sp macro="" textlink="">
      <xdr:nvSpPr>
        <xdr:cNvPr id="16" name="Freeform 1">
          <a:extLst>
            <a:ext uri="{FF2B5EF4-FFF2-40B4-BE49-F238E27FC236}">
              <a16:creationId xmlns:a16="http://schemas.microsoft.com/office/drawing/2014/main" id="{00000000-0008-0000-0200-000010000000}"/>
            </a:ext>
          </a:extLst>
        </xdr:cNvPr>
        <xdr:cNvSpPr/>
      </xdr:nvSpPr>
      <xdr:spPr bwMode="auto">
        <a:xfrm>
          <a:off x="9075379" y="637965"/>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twoCellAnchor>
    <xdr:from>
      <xdr:col>10</xdr:col>
      <xdr:colOff>419100</xdr:colOff>
      <xdr:row>34</xdr:row>
      <xdr:rowOff>142875</xdr:rowOff>
    </xdr:from>
    <xdr:to>
      <xdr:col>12</xdr:col>
      <xdr:colOff>104775</xdr:colOff>
      <xdr:row>34</xdr:row>
      <xdr:rowOff>142875</xdr:rowOff>
    </xdr:to>
    <xdr:cxnSp macro="">
      <xdr:nvCxnSpPr>
        <xdr:cNvPr id="17" name="Straight Connector 16">
          <a:extLst>
            <a:ext uri="{FF2B5EF4-FFF2-40B4-BE49-F238E27FC236}">
              <a16:creationId xmlns:a16="http://schemas.microsoft.com/office/drawing/2014/main" id="{00000000-0008-0000-0200-000011000000}"/>
            </a:ext>
          </a:extLst>
        </xdr:cNvPr>
        <xdr:cNvCxnSpPr/>
      </xdr:nvCxnSpPr>
      <xdr:spPr bwMode="auto">
        <a:xfrm>
          <a:off x="4848225" y="6372225"/>
          <a:ext cx="1162050" cy="0"/>
        </a:xfrm>
        <a:prstGeom prst="line">
          <a:avLst/>
        </a:prstGeom>
        <a:ln w="28575">
          <a:prstDash val="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85726</xdr:colOff>
      <xdr:row>34</xdr:row>
      <xdr:rowOff>152400</xdr:rowOff>
    </xdr:from>
    <xdr:to>
      <xdr:col>12</xdr:col>
      <xdr:colOff>90489</xdr:colOff>
      <xdr:row>47</xdr:row>
      <xdr:rowOff>133350</xdr:rowOff>
    </xdr:to>
    <xdr:cxnSp macro="">
      <xdr:nvCxnSpPr>
        <xdr:cNvPr id="18" name="Connector: Elbow 17">
          <a:extLst>
            <a:ext uri="{FF2B5EF4-FFF2-40B4-BE49-F238E27FC236}">
              <a16:creationId xmlns:a16="http://schemas.microsoft.com/office/drawing/2014/main" id="{00000000-0008-0000-0200-000012000000}"/>
            </a:ext>
          </a:extLst>
        </xdr:cNvPr>
        <xdr:cNvCxnSpPr/>
      </xdr:nvCxnSpPr>
      <xdr:spPr bwMode="auto">
        <a:xfrm rot="5400000">
          <a:off x="4883945" y="7489031"/>
          <a:ext cx="2219325" cy="4763"/>
        </a:xfrm>
        <a:prstGeom prst="bentConnector3">
          <a:avLst>
            <a:gd name="adj1" fmla="val 50000"/>
          </a:avLst>
        </a:prstGeom>
        <a:ln w="28575">
          <a:prstDash val="dash"/>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12</xdr:col>
      <xdr:colOff>66675</xdr:colOff>
      <xdr:row>47</xdr:row>
      <xdr:rowOff>104775</xdr:rowOff>
    </xdr:from>
    <xdr:to>
      <xdr:col>12</xdr:col>
      <xdr:colOff>133350</xdr:colOff>
      <xdr:row>48</xdr:row>
      <xdr:rowOff>0</xdr:rowOff>
    </xdr:to>
    <xdr:cxnSp macro="">
      <xdr:nvCxnSpPr>
        <xdr:cNvPr id="19" name="Straight Connector 18">
          <a:extLst>
            <a:ext uri="{FF2B5EF4-FFF2-40B4-BE49-F238E27FC236}">
              <a16:creationId xmlns:a16="http://schemas.microsoft.com/office/drawing/2014/main" id="{00000000-0008-0000-0200-000013000000}"/>
            </a:ext>
          </a:extLst>
        </xdr:cNvPr>
        <xdr:cNvCxnSpPr/>
      </xdr:nvCxnSpPr>
      <xdr:spPr bwMode="auto">
        <a:xfrm flipH="1" flipV="1">
          <a:off x="5972175" y="8572500"/>
          <a:ext cx="66675" cy="57150"/>
        </a:xfrm>
        <a:prstGeom prst="line">
          <a:avLst/>
        </a:prstGeom>
        <a:noFill/>
        <a:ln w="9525" cap="flat" cmpd="sng" algn="ctr">
          <a:noFill/>
          <a:prstDash val="solid"/>
          <a:round/>
          <a:headEnd type="none" w="med" len="med"/>
          <a:tailEnd type="none" w="med" len="med"/>
        </a:ln>
        <a:effectLst/>
      </xdr:spPr>
    </xdr:cxnSp>
    <xdr:clientData/>
  </xdr:twoCellAnchor>
  <xdr:oneCellAnchor>
    <xdr:from>
      <xdr:col>10</xdr:col>
      <xdr:colOff>184084</xdr:colOff>
      <xdr:row>41</xdr:row>
      <xdr:rowOff>146647</xdr:rowOff>
    </xdr:from>
    <xdr:ext cx="745524" cy="468077"/>
    <xdr:sp macro="" textlink="">
      <xdr:nvSpPr>
        <xdr:cNvPr id="20" name="Rectangle 19">
          <a:extLst>
            <a:ext uri="{FF2B5EF4-FFF2-40B4-BE49-F238E27FC236}">
              <a16:creationId xmlns:a16="http://schemas.microsoft.com/office/drawing/2014/main" id="{00000000-0008-0000-0200-000014000000}"/>
            </a:ext>
          </a:extLst>
        </xdr:cNvPr>
        <xdr:cNvSpPr/>
      </xdr:nvSpPr>
      <xdr:spPr>
        <a:xfrm>
          <a:off x="4613209" y="7576147"/>
          <a:ext cx="745524" cy="468077"/>
        </a:xfrm>
        <a:prstGeom prst="rect">
          <a:avLst/>
        </a:prstGeom>
        <a:noFill/>
      </xdr:spPr>
      <xdr:txBody>
        <a:bodyPr wrap="none" lIns="91440" tIns="45720" rIns="91440" bIns="45720">
          <a:spAutoFit/>
        </a:bodyPr>
        <a:lstStyle/>
        <a:p>
          <a:pPr algn="ctr"/>
          <a:r>
            <a:rPr lang="en-US" sz="1200" b="0" cap="none" spc="0">
              <a:ln w="0"/>
              <a:solidFill>
                <a:schemeClr val="accent1"/>
              </a:solidFill>
              <a:effectLst>
                <a:outerShdw blurRad="38100" dist="25400" dir="5400000" algn="ctr" rotWithShape="0">
                  <a:srgbClr val="6E747A">
                    <a:alpha val="43000"/>
                  </a:srgbClr>
                </a:outerShdw>
              </a:effectLst>
            </a:rPr>
            <a:t>Utility</a:t>
          </a:r>
        </a:p>
        <a:p>
          <a:pPr algn="ctr"/>
          <a:r>
            <a:rPr lang="en-US" sz="1200" b="0" cap="none" spc="0">
              <a:ln w="0"/>
              <a:solidFill>
                <a:schemeClr val="accent1"/>
              </a:solidFill>
              <a:effectLst>
                <a:outerShdw blurRad="38100" dist="25400" dir="5400000" algn="ctr" rotWithShape="0">
                  <a:srgbClr val="6E747A">
                    <a:alpha val="43000"/>
                  </a:srgbClr>
                </a:outerShdw>
              </a:effectLst>
            </a:rPr>
            <a:t>Category</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1028700</xdr:colOff>
      <xdr:row>21</xdr:row>
      <xdr:rowOff>114300</xdr:rowOff>
    </xdr:from>
    <xdr:to>
      <xdr:col>13</xdr:col>
      <xdr:colOff>57150</xdr:colOff>
      <xdr:row>49</xdr:row>
      <xdr:rowOff>57150</xdr:rowOff>
    </xdr:to>
    <xdr:graphicFrame macro="">
      <xdr:nvGraphicFramePr>
        <xdr:cNvPr id="1170180" name="Chart 1">
          <a:extLst>
            <a:ext uri="{FF2B5EF4-FFF2-40B4-BE49-F238E27FC236}">
              <a16:creationId xmlns:a16="http://schemas.microsoft.com/office/drawing/2014/main" id="{00000000-0008-0000-0300-000004DB1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630174</xdr:colOff>
      <xdr:row>25</xdr:row>
      <xdr:rowOff>51038</xdr:rowOff>
    </xdr:from>
    <xdr:to>
      <xdr:col>12</xdr:col>
      <xdr:colOff>2112047</xdr:colOff>
      <xdr:row>47</xdr:row>
      <xdr:rowOff>144649</xdr:rowOff>
    </xdr:to>
    <xdr:sp macro="" textlink="">
      <xdr:nvSpPr>
        <xdr:cNvPr id="1170181" name="Freeform 2">
          <a:extLst>
            <a:ext uri="{FF2B5EF4-FFF2-40B4-BE49-F238E27FC236}">
              <a16:creationId xmlns:a16="http://schemas.microsoft.com/office/drawing/2014/main" id="{00000000-0008-0000-0300-000005DB1100}"/>
            </a:ext>
          </a:extLst>
        </xdr:cNvPr>
        <xdr:cNvSpPr>
          <a:spLocks/>
        </xdr:cNvSpPr>
      </xdr:nvSpPr>
      <xdr:spPr bwMode="auto">
        <a:xfrm>
          <a:off x="4481643" y="4726711"/>
          <a:ext cx="3713445" cy="3983958"/>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63 w 10000"/>
            <a:gd name="connsiteY0" fmla="*/ 10052 h 10052"/>
            <a:gd name="connsiteX1" fmla="*/ 0 w 10000"/>
            <a:gd name="connsiteY1" fmla="*/ 5692 h 10052"/>
            <a:gd name="connsiteX2" fmla="*/ 4802 w 10000"/>
            <a:gd name="connsiteY2" fmla="*/ 26 h 10052"/>
            <a:gd name="connsiteX3" fmla="*/ 9921 w 10000"/>
            <a:gd name="connsiteY3" fmla="*/ 0 h 10052"/>
            <a:gd name="connsiteX4" fmla="*/ 10000 w 10000"/>
            <a:gd name="connsiteY4" fmla="*/ 10000 h 10052"/>
            <a:gd name="connsiteX0" fmla="*/ 14 w 9951"/>
            <a:gd name="connsiteY0" fmla="*/ 10052 h 10052"/>
            <a:gd name="connsiteX1" fmla="*/ 0 w 9951"/>
            <a:gd name="connsiteY1" fmla="*/ 5737 h 10052"/>
            <a:gd name="connsiteX2" fmla="*/ 4753 w 9951"/>
            <a:gd name="connsiteY2" fmla="*/ 26 h 10052"/>
            <a:gd name="connsiteX3" fmla="*/ 9872 w 9951"/>
            <a:gd name="connsiteY3" fmla="*/ 0 h 10052"/>
            <a:gd name="connsiteX4" fmla="*/ 9951 w 9951"/>
            <a:gd name="connsiteY4" fmla="*/ 10000 h 10052"/>
            <a:gd name="connsiteX0" fmla="*/ 14 w 10000"/>
            <a:gd name="connsiteY0" fmla="*/ 10000 h 10000"/>
            <a:gd name="connsiteX1" fmla="*/ 0 w 10000"/>
            <a:gd name="connsiteY1" fmla="*/ 5707 h 10000"/>
            <a:gd name="connsiteX2" fmla="*/ 4974 w 10000"/>
            <a:gd name="connsiteY2" fmla="*/ 0 h 10000"/>
            <a:gd name="connsiteX3" fmla="*/ 9921 w 10000"/>
            <a:gd name="connsiteY3" fmla="*/ 0 h 10000"/>
            <a:gd name="connsiteX4" fmla="*/ 10000 w 10000"/>
            <a:gd name="connsiteY4" fmla="*/ 9948 h 10000"/>
            <a:gd name="connsiteX0" fmla="*/ 14 w 9927"/>
            <a:gd name="connsiteY0" fmla="*/ 10000 h 10000"/>
            <a:gd name="connsiteX1" fmla="*/ 0 w 9927"/>
            <a:gd name="connsiteY1" fmla="*/ 5707 h 10000"/>
            <a:gd name="connsiteX2" fmla="*/ 4974 w 9927"/>
            <a:gd name="connsiteY2" fmla="*/ 0 h 10000"/>
            <a:gd name="connsiteX3" fmla="*/ 9921 w 9927"/>
            <a:gd name="connsiteY3" fmla="*/ 0 h 10000"/>
            <a:gd name="connsiteX4" fmla="*/ 9915 w 9927"/>
            <a:gd name="connsiteY4" fmla="*/ 9987 h 10000"/>
            <a:gd name="connsiteX0" fmla="*/ 14 w 10209"/>
            <a:gd name="connsiteY0" fmla="*/ 10006 h 10006"/>
            <a:gd name="connsiteX1" fmla="*/ 0 w 10209"/>
            <a:gd name="connsiteY1" fmla="*/ 5713 h 10006"/>
            <a:gd name="connsiteX2" fmla="*/ 5011 w 10209"/>
            <a:gd name="connsiteY2" fmla="*/ 6 h 10006"/>
            <a:gd name="connsiteX3" fmla="*/ 10208 w 10209"/>
            <a:gd name="connsiteY3" fmla="*/ 0 h 10006"/>
            <a:gd name="connsiteX4" fmla="*/ 9988 w 10209"/>
            <a:gd name="connsiteY4" fmla="*/ 9993 h 10006"/>
            <a:gd name="connsiteX0" fmla="*/ 14 w 10213"/>
            <a:gd name="connsiteY0" fmla="*/ 10006 h 10019"/>
            <a:gd name="connsiteX1" fmla="*/ 0 w 10213"/>
            <a:gd name="connsiteY1" fmla="*/ 5713 h 10019"/>
            <a:gd name="connsiteX2" fmla="*/ 5011 w 10213"/>
            <a:gd name="connsiteY2" fmla="*/ 6 h 10019"/>
            <a:gd name="connsiteX3" fmla="*/ 10208 w 10213"/>
            <a:gd name="connsiteY3" fmla="*/ 0 h 10019"/>
            <a:gd name="connsiteX4" fmla="*/ 10188 w 10213"/>
            <a:gd name="connsiteY4" fmla="*/ 10019 h 10019"/>
            <a:gd name="connsiteX0" fmla="*/ 14 w 10224"/>
            <a:gd name="connsiteY0" fmla="*/ 10006 h 10006"/>
            <a:gd name="connsiteX1" fmla="*/ 0 w 10224"/>
            <a:gd name="connsiteY1" fmla="*/ 5713 h 10006"/>
            <a:gd name="connsiteX2" fmla="*/ 5011 w 10224"/>
            <a:gd name="connsiteY2" fmla="*/ 6 h 10006"/>
            <a:gd name="connsiteX3" fmla="*/ 10208 w 10224"/>
            <a:gd name="connsiteY3" fmla="*/ 0 h 10006"/>
            <a:gd name="connsiteX4" fmla="*/ 10224 w 10224"/>
            <a:gd name="connsiteY4" fmla="*/ 10000 h 10006"/>
            <a:gd name="connsiteX0" fmla="*/ 21 w 10231"/>
            <a:gd name="connsiteY0" fmla="*/ 10006 h 10006"/>
            <a:gd name="connsiteX1" fmla="*/ 0 w 10231"/>
            <a:gd name="connsiteY1" fmla="*/ 5771 h 10006"/>
            <a:gd name="connsiteX2" fmla="*/ 5018 w 10231"/>
            <a:gd name="connsiteY2" fmla="*/ 6 h 10006"/>
            <a:gd name="connsiteX3" fmla="*/ 10215 w 10231"/>
            <a:gd name="connsiteY3" fmla="*/ 0 h 10006"/>
            <a:gd name="connsiteX4" fmla="*/ 10231 w 10231"/>
            <a:gd name="connsiteY4" fmla="*/ 10000 h 10006"/>
            <a:gd name="connsiteX0" fmla="*/ 7 w 10217"/>
            <a:gd name="connsiteY0" fmla="*/ 10006 h 10006"/>
            <a:gd name="connsiteX1" fmla="*/ 0 w 10217"/>
            <a:gd name="connsiteY1" fmla="*/ 5797 h 10006"/>
            <a:gd name="connsiteX2" fmla="*/ 5004 w 10217"/>
            <a:gd name="connsiteY2" fmla="*/ 6 h 10006"/>
            <a:gd name="connsiteX3" fmla="*/ 10201 w 10217"/>
            <a:gd name="connsiteY3" fmla="*/ 0 h 10006"/>
            <a:gd name="connsiteX4" fmla="*/ 10217 w 10217"/>
            <a:gd name="connsiteY4" fmla="*/ 10000 h 10006"/>
            <a:gd name="connsiteX0" fmla="*/ 7 w 10217"/>
            <a:gd name="connsiteY0" fmla="*/ 10006 h 10006"/>
            <a:gd name="connsiteX1" fmla="*/ 0 w 10217"/>
            <a:gd name="connsiteY1" fmla="*/ 5797 h 10006"/>
            <a:gd name="connsiteX2" fmla="*/ 5011 w 10217"/>
            <a:gd name="connsiteY2" fmla="*/ 122 h 10006"/>
            <a:gd name="connsiteX3" fmla="*/ 10201 w 10217"/>
            <a:gd name="connsiteY3" fmla="*/ 0 h 10006"/>
            <a:gd name="connsiteX4" fmla="*/ 10217 w 10217"/>
            <a:gd name="connsiteY4" fmla="*/ 10000 h 10006"/>
            <a:gd name="connsiteX0" fmla="*/ 7 w 10222"/>
            <a:gd name="connsiteY0" fmla="*/ 9890 h 9890"/>
            <a:gd name="connsiteX1" fmla="*/ 0 w 10222"/>
            <a:gd name="connsiteY1" fmla="*/ 5681 h 9890"/>
            <a:gd name="connsiteX2" fmla="*/ 5011 w 10222"/>
            <a:gd name="connsiteY2" fmla="*/ 6 h 9890"/>
            <a:gd name="connsiteX3" fmla="*/ 10215 w 10222"/>
            <a:gd name="connsiteY3" fmla="*/ 0 h 9890"/>
            <a:gd name="connsiteX4" fmla="*/ 10217 w 10222"/>
            <a:gd name="connsiteY4" fmla="*/ 9884 h 9890"/>
            <a:gd name="connsiteX0" fmla="*/ 7 w 9995"/>
            <a:gd name="connsiteY0" fmla="*/ 10026 h 10026"/>
            <a:gd name="connsiteX1" fmla="*/ 0 w 9995"/>
            <a:gd name="connsiteY1" fmla="*/ 5770 h 10026"/>
            <a:gd name="connsiteX2" fmla="*/ 4902 w 9995"/>
            <a:gd name="connsiteY2" fmla="*/ 32 h 10026"/>
            <a:gd name="connsiteX3" fmla="*/ 9986 w 9995"/>
            <a:gd name="connsiteY3" fmla="*/ 0 h 10026"/>
            <a:gd name="connsiteX4" fmla="*/ 9995 w 9995"/>
            <a:gd name="connsiteY4" fmla="*/ 10020 h 10026"/>
            <a:gd name="connsiteX0" fmla="*/ 7 w 10000"/>
            <a:gd name="connsiteY0" fmla="*/ 9981 h 9981"/>
            <a:gd name="connsiteX1" fmla="*/ 0 w 10000"/>
            <a:gd name="connsiteY1" fmla="*/ 5736 h 9981"/>
            <a:gd name="connsiteX2" fmla="*/ 4904 w 10000"/>
            <a:gd name="connsiteY2" fmla="*/ 13 h 9981"/>
            <a:gd name="connsiteX3" fmla="*/ 9991 w 10000"/>
            <a:gd name="connsiteY3" fmla="*/ 0 h 9981"/>
            <a:gd name="connsiteX4" fmla="*/ 10000 w 10000"/>
            <a:gd name="connsiteY4" fmla="*/ 9975 h 998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9981">
              <a:moveTo>
                <a:pt x="7" y="9981"/>
              </a:moveTo>
              <a:cubicBezTo>
                <a:pt x="-14" y="8524"/>
                <a:pt x="21" y="7194"/>
                <a:pt x="0" y="5736"/>
              </a:cubicBezTo>
              <a:lnTo>
                <a:pt x="4904" y="13"/>
              </a:lnTo>
              <a:lnTo>
                <a:pt x="9991" y="0"/>
              </a:lnTo>
              <a:cubicBezTo>
                <a:pt x="10017" y="3344"/>
                <a:pt x="9975" y="6632"/>
                <a:pt x="10000" y="9975"/>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26</xdr:row>
      <xdr:rowOff>38100</xdr:rowOff>
    </xdr:to>
    <xdr:sp macro="" textlink="">
      <xdr:nvSpPr>
        <xdr:cNvPr id="33795" name="Text Box 3">
          <a:extLst>
            <a:ext uri="{FF2B5EF4-FFF2-40B4-BE49-F238E27FC236}">
              <a16:creationId xmlns:a16="http://schemas.microsoft.com/office/drawing/2014/main" id="{00000000-0008-0000-0300-000003840000}"/>
            </a:ext>
          </a:extLst>
        </xdr:cNvPr>
        <xdr:cNvSpPr txBox="1">
          <a:spLocks noChangeArrowheads="1"/>
        </xdr:cNvSpPr>
      </xdr:nvSpPr>
      <xdr:spPr bwMode="auto">
        <a:xfrm>
          <a:off x="4095750" y="4505325"/>
          <a:ext cx="1104900" cy="35242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C172 (180 HP)</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1170183" name="Group 9">
          <a:extLst>
            <a:ext uri="{FF2B5EF4-FFF2-40B4-BE49-F238E27FC236}">
              <a16:creationId xmlns:a16="http://schemas.microsoft.com/office/drawing/2014/main" id="{00000000-0008-0000-0300-000007DB1100}"/>
            </a:ext>
          </a:extLst>
        </xdr:cNvPr>
        <xdr:cNvGrpSpPr>
          <a:grpSpLocks/>
        </xdr:cNvGrpSpPr>
      </xdr:nvGrpSpPr>
      <xdr:grpSpPr bwMode="auto">
        <a:xfrm>
          <a:off x="1028700" y="990600"/>
          <a:ext cx="1152525" cy="1476375"/>
          <a:chOff x="108" y="43"/>
          <a:chExt cx="121" cy="163"/>
        </a:xfrm>
      </xdr:grpSpPr>
      <xdr:sp macro="" textlink="">
        <xdr:nvSpPr>
          <xdr:cNvPr id="1170187" name="Freeform 10">
            <a:extLst>
              <a:ext uri="{FF2B5EF4-FFF2-40B4-BE49-F238E27FC236}">
                <a16:creationId xmlns:a16="http://schemas.microsoft.com/office/drawing/2014/main" id="{00000000-0008-0000-0300-00000BDB11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1170188" name="Freeform 11">
            <a:extLst>
              <a:ext uri="{FF2B5EF4-FFF2-40B4-BE49-F238E27FC236}">
                <a16:creationId xmlns:a16="http://schemas.microsoft.com/office/drawing/2014/main" id="{00000000-0008-0000-0300-00000CDB11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33804" name="Text Box 12">
          <a:extLst>
            <a:ext uri="{FF2B5EF4-FFF2-40B4-BE49-F238E27FC236}">
              <a16:creationId xmlns:a16="http://schemas.microsoft.com/office/drawing/2014/main" id="{00000000-0008-0000-0300-00000C840000}"/>
            </a:ext>
          </a:extLst>
        </xdr:cNvPr>
        <xdr:cNvSpPr txBox="1">
          <a:spLocks noChangeArrowheads="1"/>
        </xdr:cNvSpPr>
      </xdr:nvSpPr>
      <xdr:spPr bwMode="auto">
        <a:xfrm>
          <a:off x="3438525" y="5505450"/>
          <a:ext cx="219075" cy="8953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33805" name="Text Box 13">
          <a:extLst>
            <a:ext uri="{FF2B5EF4-FFF2-40B4-BE49-F238E27FC236}">
              <a16:creationId xmlns:a16="http://schemas.microsoft.com/office/drawing/2014/main" id="{00000000-0008-0000-0300-00000D840000}"/>
            </a:ext>
          </a:extLst>
        </xdr:cNvPr>
        <xdr:cNvSpPr txBox="1">
          <a:spLocks noChangeArrowheads="1"/>
        </xdr:cNvSpPr>
      </xdr:nvSpPr>
      <xdr:spPr bwMode="auto">
        <a:xfrm>
          <a:off x="5657850" y="4057650"/>
          <a:ext cx="762000"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170186" name="Picture 14" descr="CAP-LOGO-1">
          <a:extLst>
            <a:ext uri="{FF2B5EF4-FFF2-40B4-BE49-F238E27FC236}">
              <a16:creationId xmlns:a16="http://schemas.microsoft.com/office/drawing/2014/main" id="{00000000-0008-0000-0300-00000ADB1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9525" y="342900"/>
          <a:ext cx="723900" cy="73342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9" name="Freeform 26">
          <a:extLst>
            <a:ext uri="{FF2B5EF4-FFF2-40B4-BE49-F238E27FC236}">
              <a16:creationId xmlns:a16="http://schemas.microsoft.com/office/drawing/2014/main" id="{00000000-0008-0000-0300-000013000000}"/>
            </a:ext>
          </a:extLst>
        </xdr:cNvPr>
        <xdr:cNvSpPr>
          <a:spLocks/>
        </xdr:cNvSpPr>
      </xdr:nvSpPr>
      <xdr:spPr bwMode="auto">
        <a:xfrm>
          <a:off x="22696170" y="119062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21" name="Freeform 28">
          <a:extLst>
            <a:ext uri="{FF2B5EF4-FFF2-40B4-BE49-F238E27FC236}">
              <a16:creationId xmlns:a16="http://schemas.microsoft.com/office/drawing/2014/main" id="{00000000-0008-0000-0300-000015000000}"/>
            </a:ext>
          </a:extLst>
        </xdr:cNvPr>
        <xdr:cNvSpPr>
          <a:spLocks/>
        </xdr:cNvSpPr>
      </xdr:nvSpPr>
      <xdr:spPr bwMode="auto">
        <a:xfrm>
          <a:off x="25820370" y="1247775"/>
          <a:ext cx="116776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57150</xdr:colOff>
      <xdr:row>32</xdr:row>
      <xdr:rowOff>47625</xdr:rowOff>
    </xdr:from>
    <xdr:to>
      <xdr:col>27</xdr:col>
      <xdr:colOff>552450</xdr:colOff>
      <xdr:row>39</xdr:row>
      <xdr:rowOff>133350</xdr:rowOff>
    </xdr:to>
    <xdr:sp macro="" textlink="">
      <xdr:nvSpPr>
        <xdr:cNvPr id="23" name="Freeform 13">
          <a:extLst>
            <a:ext uri="{FF2B5EF4-FFF2-40B4-BE49-F238E27FC236}">
              <a16:creationId xmlns:a16="http://schemas.microsoft.com/office/drawing/2014/main" id="{00000000-0008-0000-0300-000017000000}"/>
            </a:ext>
          </a:extLst>
        </xdr:cNvPr>
        <xdr:cNvSpPr>
          <a:spLocks/>
        </xdr:cNvSpPr>
      </xdr:nvSpPr>
      <xdr:spPr bwMode="auto">
        <a:xfrm>
          <a:off x="22696170" y="5427345"/>
          <a:ext cx="1120140" cy="1259205"/>
        </a:xfrm>
        <a:custGeom>
          <a:avLst/>
          <a:gdLst>
            <a:gd name="T0" fmla="*/ 0 w 1247775"/>
            <a:gd name="T1" fmla="*/ 1454549 h 1152525"/>
            <a:gd name="T2" fmla="*/ 5856 w 1247775"/>
            <a:gd name="T3" fmla="*/ 685202 h 1152525"/>
            <a:gd name="T4" fmla="*/ 295231 w 1247775"/>
            <a:gd name="T5" fmla="*/ 0 h 1152525"/>
            <a:gd name="T6" fmla="*/ 767155 w 1247775"/>
            <a:gd name="T7" fmla="*/ 0 h 1152525"/>
            <a:gd name="T8" fmla="*/ 761299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32</xdr:row>
      <xdr:rowOff>60960</xdr:rowOff>
    </xdr:from>
    <xdr:to>
      <xdr:col>32</xdr:col>
      <xdr:colOff>600075</xdr:colOff>
      <xdr:row>40</xdr:row>
      <xdr:rowOff>28575</xdr:rowOff>
    </xdr:to>
    <xdr:sp macro="" textlink="">
      <xdr:nvSpPr>
        <xdr:cNvPr id="24" name="Freeform 16">
          <a:extLst>
            <a:ext uri="{FF2B5EF4-FFF2-40B4-BE49-F238E27FC236}">
              <a16:creationId xmlns:a16="http://schemas.microsoft.com/office/drawing/2014/main" id="{00000000-0008-0000-0300-000018000000}"/>
            </a:ext>
          </a:extLst>
        </xdr:cNvPr>
        <xdr:cNvSpPr>
          <a:spLocks/>
        </xdr:cNvSpPr>
      </xdr:nvSpPr>
      <xdr:spPr bwMode="auto">
        <a:xfrm>
          <a:off x="21210270" y="5981700"/>
          <a:ext cx="1167765" cy="1308735"/>
        </a:xfrm>
        <a:custGeom>
          <a:avLst/>
          <a:gdLst>
            <a:gd name="T0" fmla="*/ 0 w 1247775"/>
            <a:gd name="T1" fmla="*/ 1454549 h 1152525"/>
            <a:gd name="T2" fmla="*/ 6933 w 1247775"/>
            <a:gd name="T3" fmla="*/ 685202 h 1152525"/>
            <a:gd name="T4" fmla="*/ 349519 w 1247775"/>
            <a:gd name="T5" fmla="*/ 0 h 1152525"/>
            <a:gd name="T6" fmla="*/ 908224 w 1247775"/>
            <a:gd name="T7" fmla="*/ 0 h 1152525"/>
            <a:gd name="T8" fmla="*/ 901291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oneCellAnchor>
    <xdr:from>
      <xdr:col>1</xdr:col>
      <xdr:colOff>0</xdr:colOff>
      <xdr:row>13</xdr:row>
      <xdr:rowOff>0</xdr:rowOff>
    </xdr:from>
    <xdr:ext cx="370486" cy="180819"/>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91440" y="2461260"/>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15</xdr:col>
      <xdr:colOff>74254</xdr:colOff>
      <xdr:row>2</xdr:row>
      <xdr:rowOff>161715</xdr:rowOff>
    </xdr:from>
    <xdr:to>
      <xdr:col>15</xdr:col>
      <xdr:colOff>342853</xdr:colOff>
      <xdr:row>4</xdr:row>
      <xdr:rowOff>81822</xdr:rowOff>
    </xdr:to>
    <xdr:sp macro="" textlink="">
      <xdr:nvSpPr>
        <xdr:cNvPr id="2" name="Freeform 1">
          <a:extLst>
            <a:ext uri="{FF2B5EF4-FFF2-40B4-BE49-F238E27FC236}">
              <a16:creationId xmlns:a16="http://schemas.microsoft.com/office/drawing/2014/main" id="{00000000-0008-0000-0300-000002000000}"/>
            </a:ext>
          </a:extLst>
        </xdr:cNvPr>
        <xdr:cNvSpPr/>
      </xdr:nvSpPr>
      <xdr:spPr bwMode="auto">
        <a:xfrm>
          <a:off x="9332554" y="634155"/>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twoCellAnchor>
    <xdr:from>
      <xdr:col>10</xdr:col>
      <xdr:colOff>419100</xdr:colOff>
      <xdr:row>34</xdr:row>
      <xdr:rowOff>142875</xdr:rowOff>
    </xdr:from>
    <xdr:to>
      <xdr:col>12</xdr:col>
      <xdr:colOff>104775</xdr:colOff>
      <xdr:row>34</xdr:row>
      <xdr:rowOff>142875</xdr:rowOff>
    </xdr:to>
    <xdr:cxnSp macro="">
      <xdr:nvCxnSpPr>
        <xdr:cNvPr id="4" name="Straight Connector 3">
          <a:extLst>
            <a:ext uri="{FF2B5EF4-FFF2-40B4-BE49-F238E27FC236}">
              <a16:creationId xmlns:a16="http://schemas.microsoft.com/office/drawing/2014/main" id="{00000000-0008-0000-0300-000004000000}"/>
            </a:ext>
          </a:extLst>
        </xdr:cNvPr>
        <xdr:cNvCxnSpPr/>
      </xdr:nvCxnSpPr>
      <xdr:spPr bwMode="auto">
        <a:xfrm>
          <a:off x="4848225" y="6372225"/>
          <a:ext cx="1162050" cy="0"/>
        </a:xfrm>
        <a:prstGeom prst="line">
          <a:avLst/>
        </a:prstGeom>
        <a:ln w="28575">
          <a:prstDash val="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85726</xdr:colOff>
      <xdr:row>34</xdr:row>
      <xdr:rowOff>152400</xdr:rowOff>
    </xdr:from>
    <xdr:to>
      <xdr:col>12</xdr:col>
      <xdr:colOff>90489</xdr:colOff>
      <xdr:row>47</xdr:row>
      <xdr:rowOff>133350</xdr:rowOff>
    </xdr:to>
    <xdr:cxnSp macro="">
      <xdr:nvCxnSpPr>
        <xdr:cNvPr id="9" name="Connector: Elbow 8">
          <a:extLst>
            <a:ext uri="{FF2B5EF4-FFF2-40B4-BE49-F238E27FC236}">
              <a16:creationId xmlns:a16="http://schemas.microsoft.com/office/drawing/2014/main" id="{00000000-0008-0000-0300-000009000000}"/>
            </a:ext>
          </a:extLst>
        </xdr:cNvPr>
        <xdr:cNvCxnSpPr/>
      </xdr:nvCxnSpPr>
      <xdr:spPr bwMode="auto">
        <a:xfrm rot="5400000">
          <a:off x="4883945" y="7489031"/>
          <a:ext cx="2219325" cy="4763"/>
        </a:xfrm>
        <a:prstGeom prst="bentConnector3">
          <a:avLst>
            <a:gd name="adj1" fmla="val 50000"/>
          </a:avLst>
        </a:prstGeom>
        <a:ln w="28575">
          <a:prstDash val="dash"/>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12</xdr:col>
      <xdr:colOff>66675</xdr:colOff>
      <xdr:row>47</xdr:row>
      <xdr:rowOff>104775</xdr:rowOff>
    </xdr:from>
    <xdr:to>
      <xdr:col>12</xdr:col>
      <xdr:colOff>133350</xdr:colOff>
      <xdr:row>48</xdr:row>
      <xdr:rowOff>0</xdr:rowOff>
    </xdr:to>
    <xdr:cxnSp macro="">
      <xdr:nvCxnSpPr>
        <xdr:cNvPr id="13" name="Straight Connector 12">
          <a:extLst>
            <a:ext uri="{FF2B5EF4-FFF2-40B4-BE49-F238E27FC236}">
              <a16:creationId xmlns:a16="http://schemas.microsoft.com/office/drawing/2014/main" id="{00000000-0008-0000-0300-00000D000000}"/>
            </a:ext>
          </a:extLst>
        </xdr:cNvPr>
        <xdr:cNvCxnSpPr/>
      </xdr:nvCxnSpPr>
      <xdr:spPr bwMode="auto">
        <a:xfrm flipH="1" flipV="1">
          <a:off x="5972175" y="8572500"/>
          <a:ext cx="66675" cy="57150"/>
        </a:xfrm>
        <a:prstGeom prst="line">
          <a:avLst/>
        </a:prstGeom>
        <a:noFill/>
        <a:ln w="9525" cap="flat" cmpd="sng" algn="ctr">
          <a:noFill/>
          <a:prstDash val="solid"/>
          <a:round/>
          <a:headEnd type="none" w="med" len="med"/>
          <a:tailEnd type="none" w="med" len="med"/>
        </a:ln>
        <a:effectLst/>
      </xdr:spPr>
    </xdr:cxnSp>
    <xdr:clientData/>
  </xdr:twoCellAnchor>
  <xdr:oneCellAnchor>
    <xdr:from>
      <xdr:col>10</xdr:col>
      <xdr:colOff>184084</xdr:colOff>
      <xdr:row>41</xdr:row>
      <xdr:rowOff>146647</xdr:rowOff>
    </xdr:from>
    <xdr:ext cx="745524" cy="468077"/>
    <xdr:sp macro="" textlink="">
      <xdr:nvSpPr>
        <xdr:cNvPr id="22" name="Rectangle 21">
          <a:extLst>
            <a:ext uri="{FF2B5EF4-FFF2-40B4-BE49-F238E27FC236}">
              <a16:creationId xmlns:a16="http://schemas.microsoft.com/office/drawing/2014/main" id="{00000000-0008-0000-0300-000016000000}"/>
            </a:ext>
          </a:extLst>
        </xdr:cNvPr>
        <xdr:cNvSpPr/>
      </xdr:nvSpPr>
      <xdr:spPr>
        <a:xfrm>
          <a:off x="4609546" y="7532185"/>
          <a:ext cx="745524" cy="468077"/>
        </a:xfrm>
        <a:prstGeom prst="rect">
          <a:avLst/>
        </a:prstGeom>
        <a:noFill/>
      </xdr:spPr>
      <xdr:txBody>
        <a:bodyPr wrap="none" lIns="91440" tIns="45720" rIns="91440" bIns="45720">
          <a:spAutoFit/>
        </a:bodyPr>
        <a:lstStyle/>
        <a:p>
          <a:pPr algn="ctr"/>
          <a:r>
            <a:rPr lang="en-US" sz="1200" b="0" cap="none" spc="0">
              <a:ln w="0"/>
              <a:solidFill>
                <a:schemeClr val="accent1"/>
              </a:solidFill>
              <a:effectLst>
                <a:outerShdw blurRad="38100" dist="25400" dir="5400000" algn="ctr" rotWithShape="0">
                  <a:srgbClr val="6E747A">
                    <a:alpha val="43000"/>
                  </a:srgbClr>
                </a:outerShdw>
              </a:effectLst>
            </a:rPr>
            <a:t>Utility</a:t>
          </a:r>
        </a:p>
        <a:p>
          <a:pPr algn="ctr"/>
          <a:r>
            <a:rPr lang="en-US" sz="1200" b="0" cap="none" spc="0">
              <a:ln w="0"/>
              <a:solidFill>
                <a:schemeClr val="accent1"/>
              </a:solidFill>
              <a:effectLst>
                <a:outerShdw blurRad="38100" dist="25400" dir="5400000" algn="ctr" rotWithShape="0">
                  <a:srgbClr val="6E747A">
                    <a:alpha val="43000"/>
                  </a:srgbClr>
                </a:outerShdw>
              </a:effectLst>
            </a:rPr>
            <a:t>Category</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609601</xdr:colOff>
      <xdr:row>25</xdr:row>
      <xdr:rowOff>9525</xdr:rowOff>
    </xdr:from>
    <xdr:to>
      <xdr:col>12</xdr:col>
      <xdr:colOff>2091681</xdr:colOff>
      <xdr:row>47</xdr:row>
      <xdr:rowOff>113425</xdr:rowOff>
    </xdr:to>
    <xdr:sp macro="" textlink="">
      <xdr:nvSpPr>
        <xdr:cNvPr id="3" name="Freeform 2">
          <a:extLst>
            <a:ext uri="{FF2B5EF4-FFF2-40B4-BE49-F238E27FC236}">
              <a16:creationId xmlns:a16="http://schemas.microsoft.com/office/drawing/2014/main" id="{00000000-0008-0000-0400-000003000000}"/>
            </a:ext>
          </a:extLst>
        </xdr:cNvPr>
        <xdr:cNvSpPr>
          <a:spLocks/>
        </xdr:cNvSpPr>
      </xdr:nvSpPr>
      <xdr:spPr bwMode="auto">
        <a:xfrm>
          <a:off x="4458502" y="4652462"/>
          <a:ext cx="3715449" cy="3989413"/>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0 w 10073"/>
            <a:gd name="connsiteY0" fmla="*/ 9974 h 10000"/>
            <a:gd name="connsiteX1" fmla="*/ 0 w 10073"/>
            <a:gd name="connsiteY1" fmla="*/ 5692 h 10000"/>
            <a:gd name="connsiteX2" fmla="*/ 4802 w 10073"/>
            <a:gd name="connsiteY2" fmla="*/ 26 h 10000"/>
            <a:gd name="connsiteX3" fmla="*/ 10070 w 10073"/>
            <a:gd name="connsiteY3" fmla="*/ 0 h 10000"/>
            <a:gd name="connsiteX4" fmla="*/ 10000 w 10073"/>
            <a:gd name="connsiteY4" fmla="*/ 10000 h 10000"/>
            <a:gd name="connsiteX0" fmla="*/ 0 w 10077"/>
            <a:gd name="connsiteY0" fmla="*/ 9974 h 9974"/>
            <a:gd name="connsiteX1" fmla="*/ 0 w 10077"/>
            <a:gd name="connsiteY1" fmla="*/ 5692 h 9974"/>
            <a:gd name="connsiteX2" fmla="*/ 4802 w 10077"/>
            <a:gd name="connsiteY2" fmla="*/ 26 h 9974"/>
            <a:gd name="connsiteX3" fmla="*/ 10070 w 10077"/>
            <a:gd name="connsiteY3" fmla="*/ 0 h 9974"/>
            <a:gd name="connsiteX4" fmla="*/ 10068 w 10077"/>
            <a:gd name="connsiteY4" fmla="*/ 9949 h 9974"/>
            <a:gd name="connsiteX0" fmla="*/ 0 w 10016"/>
            <a:gd name="connsiteY0" fmla="*/ 10000 h 10000"/>
            <a:gd name="connsiteX1" fmla="*/ 0 w 10016"/>
            <a:gd name="connsiteY1" fmla="*/ 5707 h 10000"/>
            <a:gd name="connsiteX2" fmla="*/ 4765 w 10016"/>
            <a:gd name="connsiteY2" fmla="*/ 26 h 10000"/>
            <a:gd name="connsiteX3" fmla="*/ 9993 w 10016"/>
            <a:gd name="connsiteY3" fmla="*/ 0 h 10000"/>
            <a:gd name="connsiteX4" fmla="*/ 10016 w 10016"/>
            <a:gd name="connsiteY4" fmla="*/ 9975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16" h="10000">
              <a:moveTo>
                <a:pt x="0" y="10000"/>
              </a:moveTo>
              <a:lnTo>
                <a:pt x="0" y="5707"/>
              </a:lnTo>
              <a:lnTo>
                <a:pt x="4765" y="26"/>
              </a:lnTo>
              <a:lnTo>
                <a:pt x="9993" y="0"/>
              </a:lnTo>
              <a:cubicBezTo>
                <a:pt x="10019" y="3342"/>
                <a:pt x="9990" y="6633"/>
                <a:pt x="10016" y="9975"/>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26</xdr:row>
      <xdr:rowOff>38100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4200525" y="4509135"/>
          <a:ext cx="1150620" cy="35242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C172 (180 HP)</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0400-000005000000}"/>
            </a:ext>
          </a:extLst>
        </xdr:cNvPr>
        <xdr:cNvGrpSpPr>
          <a:grpSpLocks/>
        </xdr:cNvGrpSpPr>
      </xdr:nvGrpSpPr>
      <xdr:grpSpPr bwMode="auto">
        <a:xfrm>
          <a:off x="1028700" y="990600"/>
          <a:ext cx="1152525" cy="1476375"/>
          <a:chOff x="108" y="43"/>
          <a:chExt cx="121" cy="163"/>
        </a:xfrm>
      </xdr:grpSpPr>
      <xdr:sp macro="" textlink="">
        <xdr:nvSpPr>
          <xdr:cNvPr id="6" name="Freeform 10">
            <a:extLst>
              <a:ext uri="{FF2B5EF4-FFF2-40B4-BE49-F238E27FC236}">
                <a16:creationId xmlns:a16="http://schemas.microsoft.com/office/drawing/2014/main" id="{00000000-0008-0000-04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04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0400-000008000000}"/>
            </a:ext>
          </a:extLst>
        </xdr:cNvPr>
        <xdr:cNvSpPr txBox="1">
          <a:spLocks noChangeArrowheads="1"/>
        </xdr:cNvSpPr>
      </xdr:nvSpPr>
      <xdr:spPr bwMode="auto">
        <a:xfrm>
          <a:off x="3507105" y="554164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0400-000009000000}"/>
            </a:ext>
          </a:extLst>
        </xdr:cNvPr>
        <xdr:cNvSpPr txBox="1">
          <a:spLocks noChangeArrowheads="1"/>
        </xdr:cNvSpPr>
      </xdr:nvSpPr>
      <xdr:spPr bwMode="auto">
        <a:xfrm>
          <a:off x="5808345" y="4036695"/>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04785" y="33909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0400-00000B000000}"/>
            </a:ext>
          </a:extLst>
        </xdr:cNvPr>
        <xdr:cNvSpPr>
          <a:spLocks/>
        </xdr:cNvSpPr>
      </xdr:nvSpPr>
      <xdr:spPr bwMode="auto">
        <a:xfrm>
          <a:off x="17461230" y="151828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0400-00000C000000}"/>
            </a:ext>
          </a:extLst>
        </xdr:cNvPr>
        <xdr:cNvSpPr>
          <a:spLocks/>
        </xdr:cNvSpPr>
      </xdr:nvSpPr>
      <xdr:spPr bwMode="auto">
        <a:xfrm>
          <a:off x="20585430" y="1575435"/>
          <a:ext cx="116776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57150</xdr:colOff>
      <xdr:row>32</xdr:row>
      <xdr:rowOff>47625</xdr:rowOff>
    </xdr:from>
    <xdr:to>
      <xdr:col>27</xdr:col>
      <xdr:colOff>552450</xdr:colOff>
      <xdr:row>39</xdr:row>
      <xdr:rowOff>133350</xdr:rowOff>
    </xdr:to>
    <xdr:sp macro="" textlink="">
      <xdr:nvSpPr>
        <xdr:cNvPr id="13" name="Freeform 13">
          <a:extLst>
            <a:ext uri="{FF2B5EF4-FFF2-40B4-BE49-F238E27FC236}">
              <a16:creationId xmlns:a16="http://schemas.microsoft.com/office/drawing/2014/main" id="{00000000-0008-0000-0400-00000D000000}"/>
            </a:ext>
          </a:extLst>
        </xdr:cNvPr>
        <xdr:cNvSpPr>
          <a:spLocks/>
        </xdr:cNvSpPr>
      </xdr:nvSpPr>
      <xdr:spPr bwMode="auto">
        <a:xfrm>
          <a:off x="17461230" y="5937885"/>
          <a:ext cx="1120140" cy="1304925"/>
        </a:xfrm>
        <a:custGeom>
          <a:avLst/>
          <a:gdLst>
            <a:gd name="T0" fmla="*/ 0 w 1247775"/>
            <a:gd name="T1" fmla="*/ 1454549 h 1152525"/>
            <a:gd name="T2" fmla="*/ 5856 w 1247775"/>
            <a:gd name="T3" fmla="*/ 685202 h 1152525"/>
            <a:gd name="T4" fmla="*/ 295231 w 1247775"/>
            <a:gd name="T5" fmla="*/ 0 h 1152525"/>
            <a:gd name="T6" fmla="*/ 767155 w 1247775"/>
            <a:gd name="T7" fmla="*/ 0 h 1152525"/>
            <a:gd name="T8" fmla="*/ 761299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32</xdr:row>
      <xdr:rowOff>60960</xdr:rowOff>
    </xdr:from>
    <xdr:to>
      <xdr:col>32</xdr:col>
      <xdr:colOff>600075</xdr:colOff>
      <xdr:row>40</xdr:row>
      <xdr:rowOff>28575</xdr:rowOff>
    </xdr:to>
    <xdr:sp macro="" textlink="">
      <xdr:nvSpPr>
        <xdr:cNvPr id="14" name="Freeform 16">
          <a:extLst>
            <a:ext uri="{FF2B5EF4-FFF2-40B4-BE49-F238E27FC236}">
              <a16:creationId xmlns:a16="http://schemas.microsoft.com/office/drawing/2014/main" id="{00000000-0008-0000-0400-00000E000000}"/>
            </a:ext>
          </a:extLst>
        </xdr:cNvPr>
        <xdr:cNvSpPr>
          <a:spLocks/>
        </xdr:cNvSpPr>
      </xdr:nvSpPr>
      <xdr:spPr bwMode="auto">
        <a:xfrm>
          <a:off x="20585430" y="5951220"/>
          <a:ext cx="1167765" cy="1354455"/>
        </a:xfrm>
        <a:custGeom>
          <a:avLst/>
          <a:gdLst>
            <a:gd name="T0" fmla="*/ 0 w 1247775"/>
            <a:gd name="T1" fmla="*/ 1454549 h 1152525"/>
            <a:gd name="T2" fmla="*/ 6933 w 1247775"/>
            <a:gd name="T3" fmla="*/ 685202 h 1152525"/>
            <a:gd name="T4" fmla="*/ 349519 w 1247775"/>
            <a:gd name="T5" fmla="*/ 0 h 1152525"/>
            <a:gd name="T6" fmla="*/ 908224 w 1247775"/>
            <a:gd name="T7" fmla="*/ 0 h 1152525"/>
            <a:gd name="T8" fmla="*/ 901291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oneCellAnchor>
    <xdr:from>
      <xdr:col>1</xdr:col>
      <xdr:colOff>0</xdr:colOff>
      <xdr:row>13</xdr:row>
      <xdr:rowOff>0</xdr:rowOff>
    </xdr:from>
    <xdr:ext cx="370486" cy="180819"/>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91440" y="2461260"/>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15</xdr:col>
      <xdr:colOff>121920</xdr:colOff>
      <xdr:row>2</xdr:row>
      <xdr:rowOff>160020</xdr:rowOff>
    </xdr:from>
    <xdr:to>
      <xdr:col>15</xdr:col>
      <xdr:colOff>390519</xdr:colOff>
      <xdr:row>4</xdr:row>
      <xdr:rowOff>80127</xdr:rowOff>
    </xdr:to>
    <xdr:sp macro="" textlink="">
      <xdr:nvSpPr>
        <xdr:cNvPr id="16" name="Freeform 15">
          <a:extLst>
            <a:ext uri="{FF2B5EF4-FFF2-40B4-BE49-F238E27FC236}">
              <a16:creationId xmlns:a16="http://schemas.microsoft.com/office/drawing/2014/main" id="{00000000-0008-0000-0400-000010000000}"/>
            </a:ext>
          </a:extLst>
        </xdr:cNvPr>
        <xdr:cNvSpPr/>
      </xdr:nvSpPr>
      <xdr:spPr bwMode="auto">
        <a:xfrm>
          <a:off x="9380220" y="632460"/>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605183</xdr:colOff>
      <xdr:row>25</xdr:row>
      <xdr:rowOff>18696</xdr:rowOff>
    </xdr:from>
    <xdr:to>
      <xdr:col>12</xdr:col>
      <xdr:colOff>2096421</xdr:colOff>
      <xdr:row>47</xdr:row>
      <xdr:rowOff>113426</xdr:rowOff>
    </xdr:to>
    <xdr:sp macro="" textlink="">
      <xdr:nvSpPr>
        <xdr:cNvPr id="3" name="Freeform 2">
          <a:extLst>
            <a:ext uri="{FF2B5EF4-FFF2-40B4-BE49-F238E27FC236}">
              <a16:creationId xmlns:a16="http://schemas.microsoft.com/office/drawing/2014/main" id="{00000000-0008-0000-0500-000003000000}"/>
            </a:ext>
          </a:extLst>
        </xdr:cNvPr>
        <xdr:cNvSpPr>
          <a:spLocks/>
        </xdr:cNvSpPr>
      </xdr:nvSpPr>
      <xdr:spPr bwMode="auto">
        <a:xfrm>
          <a:off x="4454084" y="4661633"/>
          <a:ext cx="3724607" cy="3980243"/>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12 w 10012"/>
            <a:gd name="connsiteY0" fmla="*/ 9974 h 10000"/>
            <a:gd name="connsiteX1" fmla="*/ 0 w 10012"/>
            <a:gd name="connsiteY1" fmla="*/ 5692 h 10000"/>
            <a:gd name="connsiteX2" fmla="*/ 4814 w 10012"/>
            <a:gd name="connsiteY2" fmla="*/ 26 h 10000"/>
            <a:gd name="connsiteX3" fmla="*/ 9933 w 10012"/>
            <a:gd name="connsiteY3" fmla="*/ 0 h 10000"/>
            <a:gd name="connsiteX4" fmla="*/ 10012 w 10012"/>
            <a:gd name="connsiteY4" fmla="*/ 10000 h 10000"/>
            <a:gd name="connsiteX0" fmla="*/ 12 w 10012"/>
            <a:gd name="connsiteY0" fmla="*/ 9974 h 10000"/>
            <a:gd name="connsiteX1" fmla="*/ 0 w 10012"/>
            <a:gd name="connsiteY1" fmla="*/ 5692 h 10000"/>
            <a:gd name="connsiteX2" fmla="*/ 4901 w 10012"/>
            <a:gd name="connsiteY2" fmla="*/ 15 h 10000"/>
            <a:gd name="connsiteX3" fmla="*/ 9933 w 10012"/>
            <a:gd name="connsiteY3" fmla="*/ 0 h 10000"/>
            <a:gd name="connsiteX4" fmla="*/ 10012 w 10012"/>
            <a:gd name="connsiteY4" fmla="*/ 10000 h 10000"/>
            <a:gd name="connsiteX0" fmla="*/ 12 w 10074"/>
            <a:gd name="connsiteY0" fmla="*/ 9980 h 10006"/>
            <a:gd name="connsiteX1" fmla="*/ 0 w 10074"/>
            <a:gd name="connsiteY1" fmla="*/ 5698 h 10006"/>
            <a:gd name="connsiteX2" fmla="*/ 4901 w 10074"/>
            <a:gd name="connsiteY2" fmla="*/ 21 h 10006"/>
            <a:gd name="connsiteX3" fmla="*/ 10070 w 10074"/>
            <a:gd name="connsiteY3" fmla="*/ 0 h 10006"/>
            <a:gd name="connsiteX4" fmla="*/ 10012 w 10074"/>
            <a:gd name="connsiteY4" fmla="*/ 10006 h 10006"/>
            <a:gd name="connsiteX0" fmla="*/ 12 w 10104"/>
            <a:gd name="connsiteY0" fmla="*/ 9980 h 10006"/>
            <a:gd name="connsiteX1" fmla="*/ 0 w 10104"/>
            <a:gd name="connsiteY1" fmla="*/ 5698 h 10006"/>
            <a:gd name="connsiteX2" fmla="*/ 4901 w 10104"/>
            <a:gd name="connsiteY2" fmla="*/ 21 h 10006"/>
            <a:gd name="connsiteX3" fmla="*/ 10101 w 10104"/>
            <a:gd name="connsiteY3" fmla="*/ 0 h 10006"/>
            <a:gd name="connsiteX4" fmla="*/ 10012 w 10104"/>
            <a:gd name="connsiteY4" fmla="*/ 10006 h 10006"/>
            <a:gd name="connsiteX0" fmla="*/ 12 w 10118"/>
            <a:gd name="connsiteY0" fmla="*/ 9980 h 9980"/>
            <a:gd name="connsiteX1" fmla="*/ 0 w 10118"/>
            <a:gd name="connsiteY1" fmla="*/ 5698 h 9980"/>
            <a:gd name="connsiteX2" fmla="*/ 4901 w 10118"/>
            <a:gd name="connsiteY2" fmla="*/ 21 h 9980"/>
            <a:gd name="connsiteX3" fmla="*/ 10101 w 10118"/>
            <a:gd name="connsiteY3" fmla="*/ 0 h 9980"/>
            <a:gd name="connsiteX4" fmla="*/ 10118 w 10118"/>
            <a:gd name="connsiteY4" fmla="*/ 9932 h 9980"/>
            <a:gd name="connsiteX0" fmla="*/ 12 w 10000"/>
            <a:gd name="connsiteY0" fmla="*/ 9979 h 9979"/>
            <a:gd name="connsiteX1" fmla="*/ 0 w 10000"/>
            <a:gd name="connsiteY1" fmla="*/ 5688 h 9979"/>
            <a:gd name="connsiteX2" fmla="*/ 4844 w 10000"/>
            <a:gd name="connsiteY2" fmla="*/ 0 h 9979"/>
            <a:gd name="connsiteX3" fmla="*/ 9989 w 10000"/>
            <a:gd name="connsiteY3" fmla="*/ 8 h 9979"/>
            <a:gd name="connsiteX4" fmla="*/ 10000 w 10000"/>
            <a:gd name="connsiteY4" fmla="*/ 9931 h 9979"/>
            <a:gd name="connsiteX0" fmla="*/ 12 w 10000"/>
            <a:gd name="connsiteY0" fmla="*/ 9992 h 9992"/>
            <a:gd name="connsiteX1" fmla="*/ 0 w 10000"/>
            <a:gd name="connsiteY1" fmla="*/ 5692 h 9992"/>
            <a:gd name="connsiteX2" fmla="*/ 4844 w 10000"/>
            <a:gd name="connsiteY2" fmla="*/ 26 h 9992"/>
            <a:gd name="connsiteX3" fmla="*/ 9989 w 10000"/>
            <a:gd name="connsiteY3" fmla="*/ 0 h 9992"/>
            <a:gd name="connsiteX4" fmla="*/ 10000 w 10000"/>
            <a:gd name="connsiteY4" fmla="*/ 9944 h 999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9992">
              <a:moveTo>
                <a:pt x="12" y="9992"/>
              </a:moveTo>
              <a:cubicBezTo>
                <a:pt x="8" y="8559"/>
                <a:pt x="4" y="7125"/>
                <a:pt x="0" y="5692"/>
              </a:cubicBezTo>
              <a:lnTo>
                <a:pt x="4844" y="26"/>
              </a:lnTo>
              <a:lnTo>
                <a:pt x="9989" y="0"/>
              </a:lnTo>
              <a:cubicBezTo>
                <a:pt x="10015" y="3347"/>
                <a:pt x="9974" y="6597"/>
                <a:pt x="10000" y="9944"/>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26</xdr:row>
      <xdr:rowOff>38100</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4200525" y="4509135"/>
          <a:ext cx="1150620" cy="35242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C172 (180 HP)</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0500-000005000000}"/>
            </a:ext>
          </a:extLst>
        </xdr:cNvPr>
        <xdr:cNvGrpSpPr>
          <a:grpSpLocks/>
        </xdr:cNvGrpSpPr>
      </xdr:nvGrpSpPr>
      <xdr:grpSpPr bwMode="auto">
        <a:xfrm>
          <a:off x="1028700" y="990600"/>
          <a:ext cx="1152525" cy="1476375"/>
          <a:chOff x="108" y="43"/>
          <a:chExt cx="121" cy="163"/>
        </a:xfrm>
      </xdr:grpSpPr>
      <xdr:sp macro="" textlink="">
        <xdr:nvSpPr>
          <xdr:cNvPr id="6" name="Freeform 10">
            <a:extLst>
              <a:ext uri="{FF2B5EF4-FFF2-40B4-BE49-F238E27FC236}">
                <a16:creationId xmlns:a16="http://schemas.microsoft.com/office/drawing/2014/main" id="{00000000-0008-0000-05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05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0500-000008000000}"/>
            </a:ext>
          </a:extLst>
        </xdr:cNvPr>
        <xdr:cNvSpPr txBox="1">
          <a:spLocks noChangeArrowheads="1"/>
        </xdr:cNvSpPr>
      </xdr:nvSpPr>
      <xdr:spPr bwMode="auto">
        <a:xfrm>
          <a:off x="3507105" y="554164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0500-000009000000}"/>
            </a:ext>
          </a:extLst>
        </xdr:cNvPr>
        <xdr:cNvSpPr txBox="1">
          <a:spLocks noChangeArrowheads="1"/>
        </xdr:cNvSpPr>
      </xdr:nvSpPr>
      <xdr:spPr bwMode="auto">
        <a:xfrm>
          <a:off x="5808345" y="4036695"/>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04785" y="33909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0500-00000B000000}"/>
            </a:ext>
          </a:extLst>
        </xdr:cNvPr>
        <xdr:cNvSpPr>
          <a:spLocks/>
        </xdr:cNvSpPr>
      </xdr:nvSpPr>
      <xdr:spPr bwMode="auto">
        <a:xfrm>
          <a:off x="17461230" y="1518285"/>
          <a:ext cx="112014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0500-00000C000000}"/>
            </a:ext>
          </a:extLst>
        </xdr:cNvPr>
        <xdr:cNvSpPr>
          <a:spLocks/>
        </xdr:cNvSpPr>
      </xdr:nvSpPr>
      <xdr:spPr bwMode="auto">
        <a:xfrm>
          <a:off x="20585430" y="1575435"/>
          <a:ext cx="1167765"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57150</xdr:colOff>
      <xdr:row>32</xdr:row>
      <xdr:rowOff>47625</xdr:rowOff>
    </xdr:from>
    <xdr:to>
      <xdr:col>27</xdr:col>
      <xdr:colOff>552450</xdr:colOff>
      <xdr:row>39</xdr:row>
      <xdr:rowOff>133350</xdr:rowOff>
    </xdr:to>
    <xdr:sp macro="" textlink="">
      <xdr:nvSpPr>
        <xdr:cNvPr id="13" name="Freeform 13">
          <a:extLst>
            <a:ext uri="{FF2B5EF4-FFF2-40B4-BE49-F238E27FC236}">
              <a16:creationId xmlns:a16="http://schemas.microsoft.com/office/drawing/2014/main" id="{00000000-0008-0000-0500-00000D000000}"/>
            </a:ext>
          </a:extLst>
        </xdr:cNvPr>
        <xdr:cNvSpPr>
          <a:spLocks/>
        </xdr:cNvSpPr>
      </xdr:nvSpPr>
      <xdr:spPr bwMode="auto">
        <a:xfrm>
          <a:off x="17461230" y="5937885"/>
          <a:ext cx="1120140" cy="1304925"/>
        </a:xfrm>
        <a:custGeom>
          <a:avLst/>
          <a:gdLst>
            <a:gd name="T0" fmla="*/ 0 w 1247775"/>
            <a:gd name="T1" fmla="*/ 1454549 h 1152525"/>
            <a:gd name="T2" fmla="*/ 5856 w 1247775"/>
            <a:gd name="T3" fmla="*/ 685202 h 1152525"/>
            <a:gd name="T4" fmla="*/ 295231 w 1247775"/>
            <a:gd name="T5" fmla="*/ 0 h 1152525"/>
            <a:gd name="T6" fmla="*/ 767155 w 1247775"/>
            <a:gd name="T7" fmla="*/ 0 h 1152525"/>
            <a:gd name="T8" fmla="*/ 761299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32</xdr:row>
      <xdr:rowOff>60960</xdr:rowOff>
    </xdr:from>
    <xdr:to>
      <xdr:col>32</xdr:col>
      <xdr:colOff>600075</xdr:colOff>
      <xdr:row>40</xdr:row>
      <xdr:rowOff>28575</xdr:rowOff>
    </xdr:to>
    <xdr:sp macro="" textlink="">
      <xdr:nvSpPr>
        <xdr:cNvPr id="14" name="Freeform 16">
          <a:extLst>
            <a:ext uri="{FF2B5EF4-FFF2-40B4-BE49-F238E27FC236}">
              <a16:creationId xmlns:a16="http://schemas.microsoft.com/office/drawing/2014/main" id="{00000000-0008-0000-0500-00000E000000}"/>
            </a:ext>
          </a:extLst>
        </xdr:cNvPr>
        <xdr:cNvSpPr>
          <a:spLocks/>
        </xdr:cNvSpPr>
      </xdr:nvSpPr>
      <xdr:spPr bwMode="auto">
        <a:xfrm>
          <a:off x="20585430" y="5951220"/>
          <a:ext cx="1167765" cy="1354455"/>
        </a:xfrm>
        <a:custGeom>
          <a:avLst/>
          <a:gdLst>
            <a:gd name="T0" fmla="*/ 0 w 1247775"/>
            <a:gd name="T1" fmla="*/ 1454549 h 1152525"/>
            <a:gd name="T2" fmla="*/ 6933 w 1247775"/>
            <a:gd name="T3" fmla="*/ 685202 h 1152525"/>
            <a:gd name="T4" fmla="*/ 349519 w 1247775"/>
            <a:gd name="T5" fmla="*/ 0 h 1152525"/>
            <a:gd name="T6" fmla="*/ 908224 w 1247775"/>
            <a:gd name="T7" fmla="*/ 0 h 1152525"/>
            <a:gd name="T8" fmla="*/ 901291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oneCellAnchor>
    <xdr:from>
      <xdr:col>1</xdr:col>
      <xdr:colOff>0</xdr:colOff>
      <xdr:row>13</xdr:row>
      <xdr:rowOff>0</xdr:rowOff>
    </xdr:from>
    <xdr:ext cx="370486" cy="180819"/>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91440" y="2461260"/>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15</xdr:col>
      <xdr:colOff>114300</xdr:colOff>
      <xdr:row>2</xdr:row>
      <xdr:rowOff>167640</xdr:rowOff>
    </xdr:from>
    <xdr:to>
      <xdr:col>15</xdr:col>
      <xdr:colOff>382899</xdr:colOff>
      <xdr:row>4</xdr:row>
      <xdr:rowOff>87747</xdr:rowOff>
    </xdr:to>
    <xdr:sp macro="" textlink="">
      <xdr:nvSpPr>
        <xdr:cNvPr id="16" name="Freeform 15">
          <a:extLst>
            <a:ext uri="{FF2B5EF4-FFF2-40B4-BE49-F238E27FC236}">
              <a16:creationId xmlns:a16="http://schemas.microsoft.com/office/drawing/2014/main" id="{00000000-0008-0000-0500-000010000000}"/>
            </a:ext>
          </a:extLst>
        </xdr:cNvPr>
        <xdr:cNvSpPr/>
      </xdr:nvSpPr>
      <xdr:spPr bwMode="auto">
        <a:xfrm>
          <a:off x="9372600" y="640080"/>
          <a:ext cx="268599"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601871</xdr:colOff>
      <xdr:row>25</xdr:row>
      <xdr:rowOff>27497</xdr:rowOff>
    </xdr:from>
    <xdr:to>
      <xdr:col>12</xdr:col>
      <xdr:colOff>2095733</xdr:colOff>
      <xdr:row>47</xdr:row>
      <xdr:rowOff>113476</xdr:rowOff>
    </xdr:to>
    <xdr:sp macro="" textlink="">
      <xdr:nvSpPr>
        <xdr:cNvPr id="3" name="Freeform 2">
          <a:extLst>
            <a:ext uri="{FF2B5EF4-FFF2-40B4-BE49-F238E27FC236}">
              <a16:creationId xmlns:a16="http://schemas.microsoft.com/office/drawing/2014/main" id="{00000000-0008-0000-0600-000003000000}"/>
            </a:ext>
          </a:extLst>
        </xdr:cNvPr>
        <xdr:cNvSpPr>
          <a:spLocks/>
        </xdr:cNvSpPr>
      </xdr:nvSpPr>
      <xdr:spPr bwMode="auto">
        <a:xfrm>
          <a:off x="4455195" y="4691243"/>
          <a:ext cx="3726344" cy="3969885"/>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21 w 10021"/>
            <a:gd name="connsiteY0" fmla="*/ 9974 h 10000"/>
            <a:gd name="connsiteX1" fmla="*/ 0 w 10021"/>
            <a:gd name="connsiteY1" fmla="*/ 5705 h 10000"/>
            <a:gd name="connsiteX2" fmla="*/ 4823 w 10021"/>
            <a:gd name="connsiteY2" fmla="*/ 26 h 10000"/>
            <a:gd name="connsiteX3" fmla="*/ 9942 w 10021"/>
            <a:gd name="connsiteY3" fmla="*/ 0 h 10000"/>
            <a:gd name="connsiteX4" fmla="*/ 10021 w 10021"/>
            <a:gd name="connsiteY4" fmla="*/ 10000 h 10000"/>
            <a:gd name="connsiteX0" fmla="*/ 21 w 10021"/>
            <a:gd name="connsiteY0" fmla="*/ 9974 h 10000"/>
            <a:gd name="connsiteX1" fmla="*/ 0 w 10021"/>
            <a:gd name="connsiteY1" fmla="*/ 5705 h 10000"/>
            <a:gd name="connsiteX2" fmla="*/ 4913 w 10021"/>
            <a:gd name="connsiteY2" fmla="*/ 26 h 10000"/>
            <a:gd name="connsiteX3" fmla="*/ 9942 w 10021"/>
            <a:gd name="connsiteY3" fmla="*/ 0 h 10000"/>
            <a:gd name="connsiteX4" fmla="*/ 10021 w 10021"/>
            <a:gd name="connsiteY4" fmla="*/ 10000 h 10000"/>
            <a:gd name="connsiteX0" fmla="*/ 21 w 10097"/>
            <a:gd name="connsiteY0" fmla="*/ 9974 h 10000"/>
            <a:gd name="connsiteX1" fmla="*/ 0 w 10097"/>
            <a:gd name="connsiteY1" fmla="*/ 5705 h 10000"/>
            <a:gd name="connsiteX2" fmla="*/ 4913 w 10097"/>
            <a:gd name="connsiteY2" fmla="*/ 26 h 10000"/>
            <a:gd name="connsiteX3" fmla="*/ 10094 w 10097"/>
            <a:gd name="connsiteY3" fmla="*/ 0 h 10000"/>
            <a:gd name="connsiteX4" fmla="*/ 10021 w 10097"/>
            <a:gd name="connsiteY4" fmla="*/ 10000 h 10000"/>
            <a:gd name="connsiteX0" fmla="*/ 21 w 10111"/>
            <a:gd name="connsiteY0" fmla="*/ 9974 h 10000"/>
            <a:gd name="connsiteX1" fmla="*/ 0 w 10111"/>
            <a:gd name="connsiteY1" fmla="*/ 5705 h 10000"/>
            <a:gd name="connsiteX2" fmla="*/ 4913 w 10111"/>
            <a:gd name="connsiteY2" fmla="*/ 26 h 10000"/>
            <a:gd name="connsiteX3" fmla="*/ 10108 w 10111"/>
            <a:gd name="connsiteY3" fmla="*/ 0 h 10000"/>
            <a:gd name="connsiteX4" fmla="*/ 10021 w 10111"/>
            <a:gd name="connsiteY4" fmla="*/ 10000 h 10000"/>
            <a:gd name="connsiteX0" fmla="*/ 21 w 10111"/>
            <a:gd name="connsiteY0" fmla="*/ 9948 h 9974"/>
            <a:gd name="connsiteX1" fmla="*/ 0 w 10111"/>
            <a:gd name="connsiteY1" fmla="*/ 5679 h 9974"/>
            <a:gd name="connsiteX2" fmla="*/ 4913 w 10111"/>
            <a:gd name="connsiteY2" fmla="*/ 0 h 9974"/>
            <a:gd name="connsiteX3" fmla="*/ 10108 w 10111"/>
            <a:gd name="connsiteY3" fmla="*/ 38 h 9974"/>
            <a:gd name="connsiteX4" fmla="*/ 10021 w 10111"/>
            <a:gd name="connsiteY4" fmla="*/ 9974 h 9974"/>
            <a:gd name="connsiteX0" fmla="*/ 21 w 10000"/>
            <a:gd name="connsiteY0" fmla="*/ 9974 h 10000"/>
            <a:gd name="connsiteX1" fmla="*/ 0 w 10000"/>
            <a:gd name="connsiteY1" fmla="*/ 5694 h 10000"/>
            <a:gd name="connsiteX2" fmla="*/ 4859 w 10000"/>
            <a:gd name="connsiteY2" fmla="*/ 0 h 10000"/>
            <a:gd name="connsiteX3" fmla="*/ 9997 w 10000"/>
            <a:gd name="connsiteY3" fmla="*/ 19 h 10000"/>
            <a:gd name="connsiteX4" fmla="*/ 9911 w 10000"/>
            <a:gd name="connsiteY4" fmla="*/ 10000 h 10000"/>
            <a:gd name="connsiteX0" fmla="*/ 21 w 10000"/>
            <a:gd name="connsiteY0" fmla="*/ 9955 h 9981"/>
            <a:gd name="connsiteX1" fmla="*/ 0 w 10000"/>
            <a:gd name="connsiteY1" fmla="*/ 5675 h 9981"/>
            <a:gd name="connsiteX2" fmla="*/ 4859 w 10000"/>
            <a:gd name="connsiteY2" fmla="*/ 19 h 9981"/>
            <a:gd name="connsiteX3" fmla="*/ 9997 w 10000"/>
            <a:gd name="connsiteY3" fmla="*/ 0 h 9981"/>
            <a:gd name="connsiteX4" fmla="*/ 9911 w 10000"/>
            <a:gd name="connsiteY4" fmla="*/ 9981 h 9981"/>
            <a:gd name="connsiteX0" fmla="*/ 21 w 10000"/>
            <a:gd name="connsiteY0" fmla="*/ 9974 h 10000"/>
            <a:gd name="connsiteX1" fmla="*/ 0 w 10000"/>
            <a:gd name="connsiteY1" fmla="*/ 5686 h 10000"/>
            <a:gd name="connsiteX2" fmla="*/ 4859 w 10000"/>
            <a:gd name="connsiteY2" fmla="*/ 19 h 10000"/>
            <a:gd name="connsiteX3" fmla="*/ 9997 w 10000"/>
            <a:gd name="connsiteY3" fmla="*/ 0 h 10000"/>
            <a:gd name="connsiteX4" fmla="*/ 9911 w 10000"/>
            <a:gd name="connsiteY4" fmla="*/ 10000 h 10000"/>
            <a:gd name="connsiteX0" fmla="*/ 21 w 10004"/>
            <a:gd name="connsiteY0" fmla="*/ 9974 h 9974"/>
            <a:gd name="connsiteX1" fmla="*/ 0 w 10004"/>
            <a:gd name="connsiteY1" fmla="*/ 5686 h 9974"/>
            <a:gd name="connsiteX2" fmla="*/ 4859 w 10004"/>
            <a:gd name="connsiteY2" fmla="*/ 19 h 9974"/>
            <a:gd name="connsiteX3" fmla="*/ 9997 w 10004"/>
            <a:gd name="connsiteY3" fmla="*/ 0 h 9974"/>
            <a:gd name="connsiteX4" fmla="*/ 9993 w 10004"/>
            <a:gd name="connsiteY4" fmla="*/ 9936 h 9974"/>
            <a:gd name="connsiteX0" fmla="*/ 21 w 10010"/>
            <a:gd name="connsiteY0" fmla="*/ 10000 h 10000"/>
            <a:gd name="connsiteX1" fmla="*/ 0 w 10010"/>
            <a:gd name="connsiteY1" fmla="*/ 5701 h 10000"/>
            <a:gd name="connsiteX2" fmla="*/ 4857 w 10010"/>
            <a:gd name="connsiteY2" fmla="*/ 19 h 10000"/>
            <a:gd name="connsiteX3" fmla="*/ 9993 w 10010"/>
            <a:gd name="connsiteY3" fmla="*/ 0 h 10000"/>
            <a:gd name="connsiteX4" fmla="*/ 10010 w 10010"/>
            <a:gd name="connsiteY4" fmla="*/ 9968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10" h="10000">
              <a:moveTo>
                <a:pt x="21" y="10000"/>
              </a:moveTo>
              <a:cubicBezTo>
                <a:pt x="14" y="8566"/>
                <a:pt x="7" y="7135"/>
                <a:pt x="0" y="5701"/>
              </a:cubicBezTo>
              <a:lnTo>
                <a:pt x="4857" y="19"/>
              </a:lnTo>
              <a:lnTo>
                <a:pt x="9993" y="0"/>
              </a:lnTo>
              <a:cubicBezTo>
                <a:pt x="10019" y="3357"/>
                <a:pt x="9984" y="6611"/>
                <a:pt x="10010" y="9968"/>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26</xdr:row>
      <xdr:rowOff>38100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4200525" y="4509135"/>
          <a:ext cx="1150620" cy="35242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C172P (180 HP)</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0600-000005000000}"/>
            </a:ext>
          </a:extLst>
        </xdr:cNvPr>
        <xdr:cNvGrpSpPr>
          <a:grpSpLocks/>
        </xdr:cNvGrpSpPr>
      </xdr:nvGrpSpPr>
      <xdr:grpSpPr bwMode="auto">
        <a:xfrm>
          <a:off x="1028700" y="990600"/>
          <a:ext cx="1152525" cy="1476375"/>
          <a:chOff x="108" y="43"/>
          <a:chExt cx="121" cy="163"/>
        </a:xfrm>
      </xdr:grpSpPr>
      <xdr:sp macro="" textlink="">
        <xdr:nvSpPr>
          <xdr:cNvPr id="6" name="Freeform 10">
            <a:extLst>
              <a:ext uri="{FF2B5EF4-FFF2-40B4-BE49-F238E27FC236}">
                <a16:creationId xmlns:a16="http://schemas.microsoft.com/office/drawing/2014/main" id="{00000000-0008-0000-06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06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0600-000008000000}"/>
            </a:ext>
          </a:extLst>
        </xdr:cNvPr>
        <xdr:cNvSpPr txBox="1">
          <a:spLocks noChangeArrowheads="1"/>
        </xdr:cNvSpPr>
      </xdr:nvSpPr>
      <xdr:spPr bwMode="auto">
        <a:xfrm>
          <a:off x="3507105" y="554164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0600-000009000000}"/>
            </a:ext>
          </a:extLst>
        </xdr:cNvPr>
        <xdr:cNvSpPr txBox="1">
          <a:spLocks noChangeArrowheads="1"/>
        </xdr:cNvSpPr>
      </xdr:nvSpPr>
      <xdr:spPr bwMode="auto">
        <a:xfrm>
          <a:off x="5808345" y="4036695"/>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04785" y="33909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0600-00000B000000}"/>
            </a:ext>
          </a:extLst>
        </xdr:cNvPr>
        <xdr:cNvSpPr>
          <a:spLocks/>
        </xdr:cNvSpPr>
      </xdr:nvSpPr>
      <xdr:spPr bwMode="auto">
        <a:xfrm>
          <a:off x="9258300" y="1518285"/>
          <a:ext cx="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0600-00000C000000}"/>
            </a:ext>
          </a:extLst>
        </xdr:cNvPr>
        <xdr:cNvSpPr>
          <a:spLocks/>
        </xdr:cNvSpPr>
      </xdr:nvSpPr>
      <xdr:spPr bwMode="auto">
        <a:xfrm>
          <a:off x="9258300" y="1575435"/>
          <a:ext cx="0"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57150</xdr:colOff>
      <xdr:row>32</xdr:row>
      <xdr:rowOff>47625</xdr:rowOff>
    </xdr:from>
    <xdr:to>
      <xdr:col>27</xdr:col>
      <xdr:colOff>552450</xdr:colOff>
      <xdr:row>39</xdr:row>
      <xdr:rowOff>133350</xdr:rowOff>
    </xdr:to>
    <xdr:sp macro="" textlink="">
      <xdr:nvSpPr>
        <xdr:cNvPr id="13" name="Freeform 13">
          <a:extLst>
            <a:ext uri="{FF2B5EF4-FFF2-40B4-BE49-F238E27FC236}">
              <a16:creationId xmlns:a16="http://schemas.microsoft.com/office/drawing/2014/main" id="{00000000-0008-0000-0600-00000D000000}"/>
            </a:ext>
          </a:extLst>
        </xdr:cNvPr>
        <xdr:cNvSpPr>
          <a:spLocks/>
        </xdr:cNvSpPr>
      </xdr:nvSpPr>
      <xdr:spPr bwMode="auto">
        <a:xfrm>
          <a:off x="9258300" y="5937885"/>
          <a:ext cx="0" cy="1304925"/>
        </a:xfrm>
        <a:custGeom>
          <a:avLst/>
          <a:gdLst>
            <a:gd name="T0" fmla="*/ 0 w 1247775"/>
            <a:gd name="T1" fmla="*/ 1454549 h 1152525"/>
            <a:gd name="T2" fmla="*/ 5856 w 1247775"/>
            <a:gd name="T3" fmla="*/ 685202 h 1152525"/>
            <a:gd name="T4" fmla="*/ 295231 w 1247775"/>
            <a:gd name="T5" fmla="*/ 0 h 1152525"/>
            <a:gd name="T6" fmla="*/ 767155 w 1247775"/>
            <a:gd name="T7" fmla="*/ 0 h 1152525"/>
            <a:gd name="T8" fmla="*/ 761299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32</xdr:row>
      <xdr:rowOff>60960</xdr:rowOff>
    </xdr:from>
    <xdr:to>
      <xdr:col>32</xdr:col>
      <xdr:colOff>600075</xdr:colOff>
      <xdr:row>40</xdr:row>
      <xdr:rowOff>28575</xdr:rowOff>
    </xdr:to>
    <xdr:sp macro="" textlink="">
      <xdr:nvSpPr>
        <xdr:cNvPr id="14" name="Freeform 16">
          <a:extLst>
            <a:ext uri="{FF2B5EF4-FFF2-40B4-BE49-F238E27FC236}">
              <a16:creationId xmlns:a16="http://schemas.microsoft.com/office/drawing/2014/main" id="{00000000-0008-0000-0600-00000E000000}"/>
            </a:ext>
          </a:extLst>
        </xdr:cNvPr>
        <xdr:cNvSpPr>
          <a:spLocks/>
        </xdr:cNvSpPr>
      </xdr:nvSpPr>
      <xdr:spPr bwMode="auto">
        <a:xfrm>
          <a:off x="9258300" y="5951220"/>
          <a:ext cx="0" cy="1354455"/>
        </a:xfrm>
        <a:custGeom>
          <a:avLst/>
          <a:gdLst>
            <a:gd name="T0" fmla="*/ 0 w 1247775"/>
            <a:gd name="T1" fmla="*/ 1454549 h 1152525"/>
            <a:gd name="T2" fmla="*/ 6933 w 1247775"/>
            <a:gd name="T3" fmla="*/ 685202 h 1152525"/>
            <a:gd name="T4" fmla="*/ 349519 w 1247775"/>
            <a:gd name="T5" fmla="*/ 0 h 1152525"/>
            <a:gd name="T6" fmla="*/ 908224 w 1247775"/>
            <a:gd name="T7" fmla="*/ 0 h 1152525"/>
            <a:gd name="T8" fmla="*/ 901291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oneCellAnchor>
    <xdr:from>
      <xdr:col>1</xdr:col>
      <xdr:colOff>0</xdr:colOff>
      <xdr:row>13</xdr:row>
      <xdr:rowOff>0</xdr:rowOff>
    </xdr:from>
    <xdr:ext cx="370486" cy="180819"/>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91440" y="2461260"/>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15</xdr:col>
      <xdr:colOff>121920</xdr:colOff>
      <xdr:row>2</xdr:row>
      <xdr:rowOff>160020</xdr:rowOff>
    </xdr:from>
    <xdr:to>
      <xdr:col>15</xdr:col>
      <xdr:colOff>390519</xdr:colOff>
      <xdr:row>4</xdr:row>
      <xdr:rowOff>80127</xdr:rowOff>
    </xdr:to>
    <xdr:sp macro="" textlink="">
      <xdr:nvSpPr>
        <xdr:cNvPr id="16" name="Freeform 15">
          <a:extLst>
            <a:ext uri="{FF2B5EF4-FFF2-40B4-BE49-F238E27FC236}">
              <a16:creationId xmlns:a16="http://schemas.microsoft.com/office/drawing/2014/main" id="{00000000-0008-0000-0600-000010000000}"/>
            </a:ext>
          </a:extLst>
        </xdr:cNvPr>
        <xdr:cNvSpPr/>
      </xdr:nvSpPr>
      <xdr:spPr bwMode="auto">
        <a:xfrm>
          <a:off x="9258300" y="632460"/>
          <a:ext cx="0"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609600</xdr:colOff>
      <xdr:row>25</xdr:row>
      <xdr:rowOff>9525</xdr:rowOff>
    </xdr:from>
    <xdr:to>
      <xdr:col>12</xdr:col>
      <xdr:colOff>2110943</xdr:colOff>
      <xdr:row>47</xdr:row>
      <xdr:rowOff>113463</xdr:rowOff>
    </xdr:to>
    <xdr:sp macro="" textlink="">
      <xdr:nvSpPr>
        <xdr:cNvPr id="3" name="Freeform 2">
          <a:extLst>
            <a:ext uri="{FF2B5EF4-FFF2-40B4-BE49-F238E27FC236}">
              <a16:creationId xmlns:a16="http://schemas.microsoft.com/office/drawing/2014/main" id="{00000000-0008-0000-0700-000003000000}"/>
            </a:ext>
          </a:extLst>
        </xdr:cNvPr>
        <xdr:cNvSpPr>
          <a:spLocks/>
        </xdr:cNvSpPr>
      </xdr:nvSpPr>
      <xdr:spPr bwMode="auto">
        <a:xfrm>
          <a:off x="4457700" y="4657725"/>
          <a:ext cx="3734003" cy="3974898"/>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0 w 10000"/>
            <a:gd name="connsiteY0" fmla="*/ 9974 h 10000"/>
            <a:gd name="connsiteX1" fmla="*/ 0 w 10000"/>
            <a:gd name="connsiteY1" fmla="*/ 5692 h 10000"/>
            <a:gd name="connsiteX2" fmla="*/ 4926 w 10000"/>
            <a:gd name="connsiteY2" fmla="*/ 26 h 10000"/>
            <a:gd name="connsiteX3" fmla="*/ 9921 w 10000"/>
            <a:gd name="connsiteY3" fmla="*/ 0 h 10000"/>
            <a:gd name="connsiteX4" fmla="*/ 10000 w 10000"/>
            <a:gd name="connsiteY4" fmla="*/ 10000 h 10000"/>
            <a:gd name="connsiteX0" fmla="*/ 0 w 10090"/>
            <a:gd name="connsiteY0" fmla="*/ 9974 h 10000"/>
            <a:gd name="connsiteX1" fmla="*/ 0 w 10090"/>
            <a:gd name="connsiteY1" fmla="*/ 5692 h 10000"/>
            <a:gd name="connsiteX2" fmla="*/ 4926 w 10090"/>
            <a:gd name="connsiteY2" fmla="*/ 26 h 10000"/>
            <a:gd name="connsiteX3" fmla="*/ 10087 w 10090"/>
            <a:gd name="connsiteY3" fmla="*/ 0 h 10000"/>
            <a:gd name="connsiteX4" fmla="*/ 10000 w 10090"/>
            <a:gd name="connsiteY4" fmla="*/ 10000 h 10000"/>
            <a:gd name="connsiteX0" fmla="*/ 0 w 10094"/>
            <a:gd name="connsiteY0" fmla="*/ 9974 h 9974"/>
            <a:gd name="connsiteX1" fmla="*/ 0 w 10094"/>
            <a:gd name="connsiteY1" fmla="*/ 5692 h 9974"/>
            <a:gd name="connsiteX2" fmla="*/ 4926 w 10094"/>
            <a:gd name="connsiteY2" fmla="*/ 26 h 9974"/>
            <a:gd name="connsiteX3" fmla="*/ 10087 w 10094"/>
            <a:gd name="connsiteY3" fmla="*/ 0 h 9974"/>
            <a:gd name="connsiteX4" fmla="*/ 10083 w 10094"/>
            <a:gd name="connsiteY4" fmla="*/ 9943 h 9974"/>
            <a:gd name="connsiteX0" fmla="*/ 0 w 10051"/>
            <a:gd name="connsiteY0" fmla="*/ 10000 h 10000"/>
            <a:gd name="connsiteX1" fmla="*/ 0 w 10051"/>
            <a:gd name="connsiteY1" fmla="*/ 5707 h 10000"/>
            <a:gd name="connsiteX2" fmla="*/ 4880 w 10051"/>
            <a:gd name="connsiteY2" fmla="*/ 26 h 10000"/>
            <a:gd name="connsiteX3" fmla="*/ 9993 w 10051"/>
            <a:gd name="connsiteY3" fmla="*/ 0 h 10000"/>
            <a:gd name="connsiteX4" fmla="*/ 10051 w 10051"/>
            <a:gd name="connsiteY4" fmla="*/ 9969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51" h="10000">
              <a:moveTo>
                <a:pt x="0" y="10000"/>
              </a:moveTo>
              <a:lnTo>
                <a:pt x="0" y="5707"/>
              </a:lnTo>
              <a:lnTo>
                <a:pt x="4880" y="26"/>
              </a:lnTo>
              <a:lnTo>
                <a:pt x="9993" y="0"/>
              </a:lnTo>
              <a:cubicBezTo>
                <a:pt x="10019" y="3342"/>
                <a:pt x="10025" y="6627"/>
                <a:pt x="10051" y="9969"/>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26</xdr:row>
      <xdr:rowOff>38100</xdr:rowOff>
    </xdr:to>
    <xdr:sp macro="" textlink="">
      <xdr:nvSpPr>
        <xdr:cNvPr id="4" name="Text Box 3">
          <a:extLst>
            <a:ext uri="{FF2B5EF4-FFF2-40B4-BE49-F238E27FC236}">
              <a16:creationId xmlns:a16="http://schemas.microsoft.com/office/drawing/2014/main" id="{00000000-0008-0000-0700-000004000000}"/>
            </a:ext>
          </a:extLst>
        </xdr:cNvPr>
        <xdr:cNvSpPr txBox="1">
          <a:spLocks noChangeArrowheads="1"/>
        </xdr:cNvSpPr>
      </xdr:nvSpPr>
      <xdr:spPr bwMode="auto">
        <a:xfrm>
          <a:off x="4200525" y="4509135"/>
          <a:ext cx="1150620" cy="352425"/>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C172P (180 HP)</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0700-000005000000}"/>
            </a:ext>
          </a:extLst>
        </xdr:cNvPr>
        <xdr:cNvGrpSpPr>
          <a:grpSpLocks/>
        </xdr:cNvGrpSpPr>
      </xdr:nvGrpSpPr>
      <xdr:grpSpPr bwMode="auto">
        <a:xfrm>
          <a:off x="1028700" y="990600"/>
          <a:ext cx="1152525" cy="1476375"/>
          <a:chOff x="108" y="43"/>
          <a:chExt cx="121" cy="163"/>
        </a:xfrm>
      </xdr:grpSpPr>
      <xdr:sp macro="" textlink="">
        <xdr:nvSpPr>
          <xdr:cNvPr id="6" name="Freeform 10">
            <a:extLst>
              <a:ext uri="{FF2B5EF4-FFF2-40B4-BE49-F238E27FC236}">
                <a16:creationId xmlns:a16="http://schemas.microsoft.com/office/drawing/2014/main" id="{00000000-0008-0000-07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07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0700-000008000000}"/>
            </a:ext>
          </a:extLst>
        </xdr:cNvPr>
        <xdr:cNvSpPr txBox="1">
          <a:spLocks noChangeArrowheads="1"/>
        </xdr:cNvSpPr>
      </xdr:nvSpPr>
      <xdr:spPr bwMode="auto">
        <a:xfrm>
          <a:off x="3507105" y="554164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0700-000009000000}"/>
            </a:ext>
          </a:extLst>
        </xdr:cNvPr>
        <xdr:cNvSpPr txBox="1">
          <a:spLocks noChangeArrowheads="1"/>
        </xdr:cNvSpPr>
      </xdr:nvSpPr>
      <xdr:spPr bwMode="auto">
        <a:xfrm>
          <a:off x="5808345" y="4036695"/>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04785" y="33909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0700-00000B000000}"/>
            </a:ext>
          </a:extLst>
        </xdr:cNvPr>
        <xdr:cNvSpPr>
          <a:spLocks/>
        </xdr:cNvSpPr>
      </xdr:nvSpPr>
      <xdr:spPr bwMode="auto">
        <a:xfrm>
          <a:off x="9258300" y="1518285"/>
          <a:ext cx="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0700-00000C000000}"/>
            </a:ext>
          </a:extLst>
        </xdr:cNvPr>
        <xdr:cNvSpPr>
          <a:spLocks/>
        </xdr:cNvSpPr>
      </xdr:nvSpPr>
      <xdr:spPr bwMode="auto">
        <a:xfrm>
          <a:off x="9258300" y="1575435"/>
          <a:ext cx="0"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57150</xdr:colOff>
      <xdr:row>32</xdr:row>
      <xdr:rowOff>47625</xdr:rowOff>
    </xdr:from>
    <xdr:to>
      <xdr:col>27</xdr:col>
      <xdr:colOff>552450</xdr:colOff>
      <xdr:row>39</xdr:row>
      <xdr:rowOff>133350</xdr:rowOff>
    </xdr:to>
    <xdr:sp macro="" textlink="">
      <xdr:nvSpPr>
        <xdr:cNvPr id="13" name="Freeform 13">
          <a:extLst>
            <a:ext uri="{FF2B5EF4-FFF2-40B4-BE49-F238E27FC236}">
              <a16:creationId xmlns:a16="http://schemas.microsoft.com/office/drawing/2014/main" id="{00000000-0008-0000-0700-00000D000000}"/>
            </a:ext>
          </a:extLst>
        </xdr:cNvPr>
        <xdr:cNvSpPr>
          <a:spLocks/>
        </xdr:cNvSpPr>
      </xdr:nvSpPr>
      <xdr:spPr bwMode="auto">
        <a:xfrm>
          <a:off x="9258300" y="5937885"/>
          <a:ext cx="0" cy="1304925"/>
        </a:xfrm>
        <a:custGeom>
          <a:avLst/>
          <a:gdLst>
            <a:gd name="T0" fmla="*/ 0 w 1247775"/>
            <a:gd name="T1" fmla="*/ 1454549 h 1152525"/>
            <a:gd name="T2" fmla="*/ 5856 w 1247775"/>
            <a:gd name="T3" fmla="*/ 685202 h 1152525"/>
            <a:gd name="T4" fmla="*/ 295231 w 1247775"/>
            <a:gd name="T5" fmla="*/ 0 h 1152525"/>
            <a:gd name="T6" fmla="*/ 767155 w 1247775"/>
            <a:gd name="T7" fmla="*/ 0 h 1152525"/>
            <a:gd name="T8" fmla="*/ 761299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32</xdr:row>
      <xdr:rowOff>60960</xdr:rowOff>
    </xdr:from>
    <xdr:to>
      <xdr:col>32</xdr:col>
      <xdr:colOff>600075</xdr:colOff>
      <xdr:row>40</xdr:row>
      <xdr:rowOff>28575</xdr:rowOff>
    </xdr:to>
    <xdr:sp macro="" textlink="">
      <xdr:nvSpPr>
        <xdr:cNvPr id="14" name="Freeform 16">
          <a:extLst>
            <a:ext uri="{FF2B5EF4-FFF2-40B4-BE49-F238E27FC236}">
              <a16:creationId xmlns:a16="http://schemas.microsoft.com/office/drawing/2014/main" id="{00000000-0008-0000-0700-00000E000000}"/>
            </a:ext>
          </a:extLst>
        </xdr:cNvPr>
        <xdr:cNvSpPr>
          <a:spLocks/>
        </xdr:cNvSpPr>
      </xdr:nvSpPr>
      <xdr:spPr bwMode="auto">
        <a:xfrm>
          <a:off x="9258300" y="5951220"/>
          <a:ext cx="0" cy="1354455"/>
        </a:xfrm>
        <a:custGeom>
          <a:avLst/>
          <a:gdLst>
            <a:gd name="T0" fmla="*/ 0 w 1247775"/>
            <a:gd name="T1" fmla="*/ 1454549 h 1152525"/>
            <a:gd name="T2" fmla="*/ 6933 w 1247775"/>
            <a:gd name="T3" fmla="*/ 685202 h 1152525"/>
            <a:gd name="T4" fmla="*/ 349519 w 1247775"/>
            <a:gd name="T5" fmla="*/ 0 h 1152525"/>
            <a:gd name="T6" fmla="*/ 908224 w 1247775"/>
            <a:gd name="T7" fmla="*/ 0 h 1152525"/>
            <a:gd name="T8" fmla="*/ 901291 w 1247775"/>
            <a:gd name="T9" fmla="*/ 1430508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Lst>
          <a:ahLst/>
          <a:cxnLst>
            <a:cxn ang="T10">
              <a:pos x="T0" y="T1"/>
            </a:cxn>
            <a:cxn ang="T11">
              <a:pos x="T2" y="T3"/>
            </a:cxn>
            <a:cxn ang="T12">
              <a:pos x="T4" y="T5"/>
            </a:cxn>
            <a:cxn ang="T13">
              <a:pos x="T6" y="T7"/>
            </a:cxn>
            <a:cxn ang="T14">
              <a:pos x="T8" y="T9"/>
            </a:cxn>
          </a:cxnLst>
          <a:rect l="T15" t="T16" r="T17" b="T18"/>
          <a:pathLst>
            <a:path w="1247775" h="1152525">
              <a:moveTo>
                <a:pt x="0" y="1152525"/>
              </a:moveTo>
              <a:lnTo>
                <a:pt x="9525" y="542925"/>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oneCellAnchor>
    <xdr:from>
      <xdr:col>1</xdr:col>
      <xdr:colOff>0</xdr:colOff>
      <xdr:row>13</xdr:row>
      <xdr:rowOff>0</xdr:rowOff>
    </xdr:from>
    <xdr:ext cx="370486" cy="180819"/>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91440" y="2461260"/>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15</xdr:col>
      <xdr:colOff>121920</xdr:colOff>
      <xdr:row>2</xdr:row>
      <xdr:rowOff>160020</xdr:rowOff>
    </xdr:from>
    <xdr:to>
      <xdr:col>15</xdr:col>
      <xdr:colOff>390519</xdr:colOff>
      <xdr:row>4</xdr:row>
      <xdr:rowOff>80127</xdr:rowOff>
    </xdr:to>
    <xdr:sp macro="" textlink="">
      <xdr:nvSpPr>
        <xdr:cNvPr id="16" name="Freeform 15">
          <a:extLst>
            <a:ext uri="{FF2B5EF4-FFF2-40B4-BE49-F238E27FC236}">
              <a16:creationId xmlns:a16="http://schemas.microsoft.com/office/drawing/2014/main" id="{00000000-0008-0000-0700-000010000000}"/>
            </a:ext>
          </a:extLst>
        </xdr:cNvPr>
        <xdr:cNvSpPr/>
      </xdr:nvSpPr>
      <xdr:spPr bwMode="auto">
        <a:xfrm>
          <a:off x="9258300" y="632460"/>
          <a:ext cx="0"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990600</xdr:colOff>
      <xdr:row>21</xdr:row>
      <xdr:rowOff>76200</xdr:rowOff>
    </xdr:from>
    <xdr:to>
      <xdr:col>13</xdr:col>
      <xdr:colOff>19050</xdr:colOff>
      <xdr:row>49</xdr:row>
      <xdr:rowOff>19050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582732</xdr:colOff>
      <xdr:row>25</xdr:row>
      <xdr:rowOff>117939</xdr:rowOff>
    </xdr:from>
    <xdr:to>
      <xdr:col>12</xdr:col>
      <xdr:colOff>2008081</xdr:colOff>
      <xdr:row>47</xdr:row>
      <xdr:rowOff>111107</xdr:rowOff>
    </xdr:to>
    <xdr:sp macro="" textlink="">
      <xdr:nvSpPr>
        <xdr:cNvPr id="3" name="Freeform 2">
          <a:extLst>
            <a:ext uri="{FF2B5EF4-FFF2-40B4-BE49-F238E27FC236}">
              <a16:creationId xmlns:a16="http://schemas.microsoft.com/office/drawing/2014/main" id="{00000000-0008-0000-0800-000003000000}"/>
            </a:ext>
          </a:extLst>
        </xdr:cNvPr>
        <xdr:cNvSpPr>
          <a:spLocks/>
        </xdr:cNvSpPr>
      </xdr:nvSpPr>
      <xdr:spPr bwMode="auto">
        <a:xfrm>
          <a:off x="4435421" y="4764645"/>
          <a:ext cx="3657988" cy="3865067"/>
        </a:xfrm>
        <a:custGeom>
          <a:avLst/>
          <a:gdLst>
            <a:gd name="T0" fmla="*/ 0 w 379"/>
            <a:gd name="T1" fmla="*/ 2147483647 h 390"/>
            <a:gd name="T2" fmla="*/ 0 w 379"/>
            <a:gd name="T3" fmla="*/ 2147483647 h 390"/>
            <a:gd name="T4" fmla="*/ 2147483647 w 379"/>
            <a:gd name="T5" fmla="*/ 2147483647 h 390"/>
            <a:gd name="T6" fmla="*/ 2147483647 w 379"/>
            <a:gd name="T7" fmla="*/ 0 h 390"/>
            <a:gd name="T8" fmla="*/ 2147483647 w 379"/>
            <a:gd name="T9" fmla="*/ 2147483647 h 390"/>
            <a:gd name="T10" fmla="*/ 0 60000 65536"/>
            <a:gd name="T11" fmla="*/ 0 60000 65536"/>
            <a:gd name="T12" fmla="*/ 0 60000 65536"/>
            <a:gd name="T13" fmla="*/ 0 60000 65536"/>
            <a:gd name="T14" fmla="*/ 0 60000 65536"/>
            <a:gd name="T15" fmla="*/ 0 w 379"/>
            <a:gd name="T16" fmla="*/ 0 h 390"/>
            <a:gd name="T17" fmla="*/ 379 w 379"/>
            <a:gd name="T18" fmla="*/ 390 h 390"/>
            <a:gd name="connsiteX0" fmla="*/ 0 w 10000"/>
            <a:gd name="connsiteY0" fmla="*/ 9974 h 10000"/>
            <a:gd name="connsiteX1" fmla="*/ 0 w 10000"/>
            <a:gd name="connsiteY1" fmla="*/ 5692 h 10000"/>
            <a:gd name="connsiteX2" fmla="*/ 6044 w 10000"/>
            <a:gd name="connsiteY2" fmla="*/ 332 h 10000"/>
            <a:gd name="connsiteX3" fmla="*/ 9921 w 10000"/>
            <a:gd name="connsiteY3" fmla="*/ 0 h 10000"/>
            <a:gd name="connsiteX4" fmla="*/ 10000 w 10000"/>
            <a:gd name="connsiteY4" fmla="*/ 10000 h 10000"/>
            <a:gd name="connsiteX0" fmla="*/ 0 w 10000"/>
            <a:gd name="connsiteY0" fmla="*/ 9642 h 9668"/>
            <a:gd name="connsiteX1" fmla="*/ 0 w 10000"/>
            <a:gd name="connsiteY1" fmla="*/ 5360 h 9668"/>
            <a:gd name="connsiteX2" fmla="*/ 6044 w 10000"/>
            <a:gd name="connsiteY2" fmla="*/ 0 h 9668"/>
            <a:gd name="connsiteX3" fmla="*/ 9921 w 10000"/>
            <a:gd name="connsiteY3" fmla="*/ 31 h 9668"/>
            <a:gd name="connsiteX4" fmla="*/ 10000 w 10000"/>
            <a:gd name="connsiteY4" fmla="*/ 9668 h 9668"/>
            <a:gd name="connsiteX0" fmla="*/ 0 w 10000"/>
            <a:gd name="connsiteY0" fmla="*/ 9973 h 10000"/>
            <a:gd name="connsiteX1" fmla="*/ 0 w 10000"/>
            <a:gd name="connsiteY1" fmla="*/ 7087 h 10000"/>
            <a:gd name="connsiteX2" fmla="*/ 6044 w 10000"/>
            <a:gd name="connsiteY2" fmla="*/ 0 h 10000"/>
            <a:gd name="connsiteX3" fmla="*/ 9921 w 10000"/>
            <a:gd name="connsiteY3" fmla="*/ 32 h 10000"/>
            <a:gd name="connsiteX4" fmla="*/ 10000 w 10000"/>
            <a:gd name="connsiteY4" fmla="*/ 10000 h 10000"/>
            <a:gd name="connsiteX0" fmla="*/ 0 w 10000"/>
            <a:gd name="connsiteY0" fmla="*/ 9973 h 10000"/>
            <a:gd name="connsiteX1" fmla="*/ 0 w 10000"/>
            <a:gd name="connsiteY1" fmla="*/ 7087 h 10000"/>
            <a:gd name="connsiteX2" fmla="*/ 3251 w 10000"/>
            <a:gd name="connsiteY2" fmla="*/ 3310 h 10000"/>
            <a:gd name="connsiteX3" fmla="*/ 6044 w 10000"/>
            <a:gd name="connsiteY3" fmla="*/ 0 h 10000"/>
            <a:gd name="connsiteX4" fmla="*/ 9921 w 10000"/>
            <a:gd name="connsiteY4" fmla="*/ 32 h 10000"/>
            <a:gd name="connsiteX5" fmla="*/ 10000 w 10000"/>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3272 w 10021"/>
            <a:gd name="connsiteY2" fmla="*/ 3310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47 w 10021"/>
            <a:gd name="connsiteY2" fmla="*/ 2895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73 h 10000"/>
            <a:gd name="connsiteX1" fmla="*/ 0 w 10021"/>
            <a:gd name="connsiteY1" fmla="*/ 6474 h 10000"/>
            <a:gd name="connsiteX2" fmla="*/ 1906 w 10021"/>
            <a:gd name="connsiteY2" fmla="*/ 3033 h 10000"/>
            <a:gd name="connsiteX3" fmla="*/ 6065 w 10021"/>
            <a:gd name="connsiteY3" fmla="*/ 0 h 10000"/>
            <a:gd name="connsiteX4" fmla="*/ 9942 w 10021"/>
            <a:gd name="connsiteY4" fmla="*/ 32 h 10000"/>
            <a:gd name="connsiteX5" fmla="*/ 10021 w 10021"/>
            <a:gd name="connsiteY5" fmla="*/ 10000 h 10000"/>
            <a:gd name="connsiteX0" fmla="*/ 21 w 10021"/>
            <a:gd name="connsiteY0" fmla="*/ 9981 h 10008"/>
            <a:gd name="connsiteX1" fmla="*/ 0 w 10021"/>
            <a:gd name="connsiteY1" fmla="*/ 6482 h 10008"/>
            <a:gd name="connsiteX2" fmla="*/ 1906 w 10021"/>
            <a:gd name="connsiteY2" fmla="*/ 3041 h 10008"/>
            <a:gd name="connsiteX3" fmla="*/ 6065 w 10021"/>
            <a:gd name="connsiteY3" fmla="*/ 8 h 10008"/>
            <a:gd name="connsiteX4" fmla="*/ 9942 w 10021"/>
            <a:gd name="connsiteY4" fmla="*/ 0 h 10008"/>
            <a:gd name="connsiteX5" fmla="*/ 10021 w 10021"/>
            <a:gd name="connsiteY5" fmla="*/ 10008 h 10008"/>
            <a:gd name="connsiteX0" fmla="*/ 21 w 10021"/>
            <a:gd name="connsiteY0" fmla="*/ 10013 h 10040"/>
            <a:gd name="connsiteX1" fmla="*/ 0 w 10021"/>
            <a:gd name="connsiteY1" fmla="*/ 6514 h 10040"/>
            <a:gd name="connsiteX2" fmla="*/ 1906 w 10021"/>
            <a:gd name="connsiteY2" fmla="*/ 3073 h 10040"/>
            <a:gd name="connsiteX3" fmla="*/ 6127 w 10021"/>
            <a:gd name="connsiteY3" fmla="*/ 0 h 10040"/>
            <a:gd name="connsiteX4" fmla="*/ 9942 w 10021"/>
            <a:gd name="connsiteY4" fmla="*/ 32 h 10040"/>
            <a:gd name="connsiteX5" fmla="*/ 10021 w 10021"/>
            <a:gd name="connsiteY5" fmla="*/ 10040 h 10040"/>
            <a:gd name="connsiteX0" fmla="*/ 21 w 10021"/>
            <a:gd name="connsiteY0" fmla="*/ 10021 h 10048"/>
            <a:gd name="connsiteX1" fmla="*/ 0 w 10021"/>
            <a:gd name="connsiteY1" fmla="*/ 6522 h 10048"/>
            <a:gd name="connsiteX2" fmla="*/ 1906 w 10021"/>
            <a:gd name="connsiteY2" fmla="*/ 3081 h 10048"/>
            <a:gd name="connsiteX3" fmla="*/ 6127 w 10021"/>
            <a:gd name="connsiteY3" fmla="*/ 8 h 10048"/>
            <a:gd name="connsiteX4" fmla="*/ 9880 w 10021"/>
            <a:gd name="connsiteY4" fmla="*/ 0 h 10048"/>
            <a:gd name="connsiteX5" fmla="*/ 10021 w 10021"/>
            <a:gd name="connsiteY5" fmla="*/ 10048 h 10048"/>
            <a:gd name="connsiteX0" fmla="*/ 21 w 10021"/>
            <a:gd name="connsiteY0" fmla="*/ 10021 h 10048"/>
            <a:gd name="connsiteX1" fmla="*/ 0 w 10021"/>
            <a:gd name="connsiteY1" fmla="*/ 6522 h 10048"/>
            <a:gd name="connsiteX2" fmla="*/ 1906 w 10021"/>
            <a:gd name="connsiteY2" fmla="*/ 3081 h 10048"/>
            <a:gd name="connsiteX3" fmla="*/ 6075 w 10021"/>
            <a:gd name="connsiteY3" fmla="*/ 8 h 10048"/>
            <a:gd name="connsiteX4" fmla="*/ 9880 w 10021"/>
            <a:gd name="connsiteY4" fmla="*/ 0 h 10048"/>
            <a:gd name="connsiteX5" fmla="*/ 10021 w 10021"/>
            <a:gd name="connsiteY5" fmla="*/ 10048 h 10048"/>
            <a:gd name="connsiteX0" fmla="*/ 21 w 10021"/>
            <a:gd name="connsiteY0" fmla="*/ 10021 h 10048"/>
            <a:gd name="connsiteX1" fmla="*/ 0 w 10021"/>
            <a:gd name="connsiteY1" fmla="*/ 6522 h 10048"/>
            <a:gd name="connsiteX2" fmla="*/ 1906 w 10021"/>
            <a:gd name="connsiteY2" fmla="*/ 3081 h 10048"/>
            <a:gd name="connsiteX3" fmla="*/ 6052 w 10021"/>
            <a:gd name="connsiteY3" fmla="*/ 8 h 10048"/>
            <a:gd name="connsiteX4" fmla="*/ 9880 w 10021"/>
            <a:gd name="connsiteY4" fmla="*/ 0 h 10048"/>
            <a:gd name="connsiteX5" fmla="*/ 10021 w 10021"/>
            <a:gd name="connsiteY5" fmla="*/ 10048 h 10048"/>
            <a:gd name="connsiteX0" fmla="*/ 21 w 10021"/>
            <a:gd name="connsiteY0" fmla="*/ 10021 h 10048"/>
            <a:gd name="connsiteX1" fmla="*/ 0 w 10021"/>
            <a:gd name="connsiteY1" fmla="*/ 6522 h 10048"/>
            <a:gd name="connsiteX2" fmla="*/ 1865 w 10021"/>
            <a:gd name="connsiteY2" fmla="*/ 3081 h 10048"/>
            <a:gd name="connsiteX3" fmla="*/ 6052 w 10021"/>
            <a:gd name="connsiteY3" fmla="*/ 8 h 10048"/>
            <a:gd name="connsiteX4" fmla="*/ 9880 w 10021"/>
            <a:gd name="connsiteY4" fmla="*/ 0 h 10048"/>
            <a:gd name="connsiteX5" fmla="*/ 10021 w 10021"/>
            <a:gd name="connsiteY5" fmla="*/ 10048 h 10048"/>
            <a:gd name="connsiteX0" fmla="*/ 73 w 10073"/>
            <a:gd name="connsiteY0" fmla="*/ 10021 h 10048"/>
            <a:gd name="connsiteX1" fmla="*/ 0 w 10073"/>
            <a:gd name="connsiteY1" fmla="*/ 6528 h 10048"/>
            <a:gd name="connsiteX2" fmla="*/ 1917 w 10073"/>
            <a:gd name="connsiteY2" fmla="*/ 3081 h 10048"/>
            <a:gd name="connsiteX3" fmla="*/ 6104 w 10073"/>
            <a:gd name="connsiteY3" fmla="*/ 8 h 10048"/>
            <a:gd name="connsiteX4" fmla="*/ 9932 w 10073"/>
            <a:gd name="connsiteY4" fmla="*/ 0 h 10048"/>
            <a:gd name="connsiteX5" fmla="*/ 10073 w 10073"/>
            <a:gd name="connsiteY5" fmla="*/ 10048 h 10048"/>
            <a:gd name="connsiteX0" fmla="*/ 3 w 10073"/>
            <a:gd name="connsiteY0" fmla="*/ 10015 h 10048"/>
            <a:gd name="connsiteX1" fmla="*/ 0 w 10073"/>
            <a:gd name="connsiteY1" fmla="*/ 6528 h 10048"/>
            <a:gd name="connsiteX2" fmla="*/ 1917 w 10073"/>
            <a:gd name="connsiteY2" fmla="*/ 3081 h 10048"/>
            <a:gd name="connsiteX3" fmla="*/ 6104 w 10073"/>
            <a:gd name="connsiteY3" fmla="*/ 8 h 10048"/>
            <a:gd name="connsiteX4" fmla="*/ 9932 w 10073"/>
            <a:gd name="connsiteY4" fmla="*/ 0 h 10048"/>
            <a:gd name="connsiteX5" fmla="*/ 10073 w 10073"/>
            <a:gd name="connsiteY5" fmla="*/ 10048 h 10048"/>
            <a:gd name="connsiteX0" fmla="*/ 3 w 9939"/>
            <a:gd name="connsiteY0" fmla="*/ 10015 h 10015"/>
            <a:gd name="connsiteX1" fmla="*/ 0 w 9939"/>
            <a:gd name="connsiteY1" fmla="*/ 6528 h 10015"/>
            <a:gd name="connsiteX2" fmla="*/ 1917 w 9939"/>
            <a:gd name="connsiteY2" fmla="*/ 3081 h 10015"/>
            <a:gd name="connsiteX3" fmla="*/ 6104 w 9939"/>
            <a:gd name="connsiteY3" fmla="*/ 8 h 10015"/>
            <a:gd name="connsiteX4" fmla="*/ 9932 w 9939"/>
            <a:gd name="connsiteY4" fmla="*/ 0 h 10015"/>
            <a:gd name="connsiteX5" fmla="*/ 9934 w 9939"/>
            <a:gd name="connsiteY5" fmla="*/ 9998 h 10015"/>
            <a:gd name="connsiteX0" fmla="*/ 3 w 10000"/>
            <a:gd name="connsiteY0" fmla="*/ 10000 h 10000"/>
            <a:gd name="connsiteX1" fmla="*/ 0 w 10000"/>
            <a:gd name="connsiteY1" fmla="*/ 6518 h 10000"/>
            <a:gd name="connsiteX2" fmla="*/ 2022 w 10000"/>
            <a:gd name="connsiteY2" fmla="*/ 3070 h 10000"/>
            <a:gd name="connsiteX3" fmla="*/ 6141 w 10000"/>
            <a:gd name="connsiteY3" fmla="*/ 8 h 10000"/>
            <a:gd name="connsiteX4" fmla="*/ 9993 w 10000"/>
            <a:gd name="connsiteY4" fmla="*/ 0 h 10000"/>
            <a:gd name="connsiteX5" fmla="*/ 9995 w 10000"/>
            <a:gd name="connsiteY5" fmla="*/ 9983 h 10000"/>
            <a:gd name="connsiteX0" fmla="*/ 3 w 10000"/>
            <a:gd name="connsiteY0" fmla="*/ 10000 h 10000"/>
            <a:gd name="connsiteX1" fmla="*/ 0 w 10000"/>
            <a:gd name="connsiteY1" fmla="*/ 6518 h 10000"/>
            <a:gd name="connsiteX2" fmla="*/ 1975 w 10000"/>
            <a:gd name="connsiteY2" fmla="*/ 3070 h 10000"/>
            <a:gd name="connsiteX3" fmla="*/ 6141 w 10000"/>
            <a:gd name="connsiteY3" fmla="*/ 8 h 10000"/>
            <a:gd name="connsiteX4" fmla="*/ 9993 w 10000"/>
            <a:gd name="connsiteY4" fmla="*/ 0 h 10000"/>
            <a:gd name="connsiteX5" fmla="*/ 9995 w 10000"/>
            <a:gd name="connsiteY5" fmla="*/ 9983 h 10000"/>
            <a:gd name="connsiteX0" fmla="*/ 3 w 10000"/>
            <a:gd name="connsiteY0" fmla="*/ 10014 h 10014"/>
            <a:gd name="connsiteX1" fmla="*/ 0 w 10000"/>
            <a:gd name="connsiteY1" fmla="*/ 6532 h 10014"/>
            <a:gd name="connsiteX2" fmla="*/ 1975 w 10000"/>
            <a:gd name="connsiteY2" fmla="*/ 3084 h 10014"/>
            <a:gd name="connsiteX3" fmla="*/ 6147 w 10000"/>
            <a:gd name="connsiteY3" fmla="*/ 0 h 10014"/>
            <a:gd name="connsiteX4" fmla="*/ 9993 w 10000"/>
            <a:gd name="connsiteY4" fmla="*/ 14 h 10014"/>
            <a:gd name="connsiteX5" fmla="*/ 9995 w 10000"/>
            <a:gd name="connsiteY5" fmla="*/ 9997 h 100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00" h="10014">
              <a:moveTo>
                <a:pt x="3" y="10014"/>
              </a:moveTo>
              <a:cubicBezTo>
                <a:pt x="-4" y="8850"/>
                <a:pt x="7" y="7696"/>
                <a:pt x="0" y="6532"/>
              </a:cubicBezTo>
              <a:lnTo>
                <a:pt x="1975" y="3084"/>
              </a:lnTo>
              <a:lnTo>
                <a:pt x="6147" y="0"/>
              </a:lnTo>
              <a:lnTo>
                <a:pt x="9993" y="14"/>
              </a:lnTo>
              <a:cubicBezTo>
                <a:pt x="10019" y="3457"/>
                <a:pt x="9969" y="6555"/>
                <a:pt x="9995" y="9997"/>
              </a:cubicBezTo>
            </a:path>
          </a:pathLst>
        </a:custGeom>
        <a:noFill/>
        <a:ln w="19050" cmpd="sng">
          <a:solidFill>
            <a:srgbClr val="333333"/>
          </a:solidFill>
          <a:round/>
          <a:headEnd/>
          <a:tailEnd/>
        </a:ln>
      </xdr:spPr>
    </xdr:sp>
    <xdr:clientData/>
  </xdr:twoCellAnchor>
  <xdr:twoCellAnchor>
    <xdr:from>
      <xdr:col>9</xdr:col>
      <xdr:colOff>352425</xdr:colOff>
      <xdr:row>24</xdr:row>
      <xdr:rowOff>28575</xdr:rowOff>
    </xdr:from>
    <xdr:to>
      <xdr:col>11</xdr:col>
      <xdr:colOff>85725</xdr:colOff>
      <xdr:row>27</xdr:row>
      <xdr:rowOff>60960</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4095750" y="4505325"/>
          <a:ext cx="1104900" cy="537210"/>
        </a:xfrm>
        <a:prstGeom prst="rect">
          <a:avLst/>
        </a:prstGeom>
        <a:solidFill>
          <a:srgbClr val="C0C0C0">
            <a:alpha val="30000"/>
          </a:srgbClr>
        </a:solidFill>
        <a:ln w="9525">
          <a:noFill/>
          <a:miter lim="800000"/>
          <a:headEnd/>
          <a:tailEnd/>
        </a:ln>
      </xdr:spPr>
      <xdr:txBody>
        <a:bodyPr vertOverflow="clip" wrap="square" lIns="27432" tIns="22860" rIns="27432" bIns="0" anchor="t" upright="1"/>
        <a:lstStyle/>
        <a:p>
          <a:pPr algn="ctr" rtl="0">
            <a:defRPr sz="1000"/>
          </a:pPr>
          <a:r>
            <a:rPr lang="en-US" sz="800" b="0" i="1" u="none" strike="noStrike" baseline="0">
              <a:solidFill>
                <a:srgbClr val="000000"/>
              </a:solidFill>
              <a:latin typeface="Arial"/>
              <a:cs typeface="Arial"/>
            </a:rPr>
            <a:t>Loading Limits C182T (230 HP)</a:t>
          </a:r>
        </a:p>
        <a:p>
          <a:pPr algn="ctr" rtl="0">
            <a:defRPr sz="1000"/>
          </a:pPr>
          <a:r>
            <a:rPr lang="en-US" sz="800" b="0" i="1" u="none" strike="noStrike" baseline="0">
              <a:solidFill>
                <a:srgbClr val="FF0000"/>
              </a:solidFill>
              <a:latin typeface="Arial"/>
              <a:cs typeface="Arial"/>
            </a:rPr>
            <a:t>Dashed red line is LANDING weight limit.</a:t>
          </a:r>
        </a:p>
        <a:p>
          <a:pPr algn="ctr" rtl="0">
            <a:defRPr sz="1000"/>
          </a:pPr>
          <a:endParaRPr lang="en-US" sz="800" b="0" i="1" u="none" strike="noStrike" baseline="0">
            <a:solidFill>
              <a:srgbClr val="000000"/>
            </a:solidFill>
            <a:latin typeface="Arial"/>
            <a:cs typeface="Arial"/>
          </a:endParaRPr>
        </a:p>
      </xdr:txBody>
    </xdr:sp>
    <xdr:clientData/>
  </xdr:twoCellAnchor>
  <xdr:twoCellAnchor>
    <xdr:from>
      <xdr:col>1</xdr:col>
      <xdr:colOff>942975</xdr:colOff>
      <xdr:row>5</xdr:row>
      <xdr:rowOff>19050</xdr:rowOff>
    </xdr:from>
    <xdr:to>
      <xdr:col>6</xdr:col>
      <xdr:colOff>47625</xdr:colOff>
      <xdr:row>13</xdr:row>
      <xdr:rowOff>0</xdr:rowOff>
    </xdr:to>
    <xdr:grpSp>
      <xdr:nvGrpSpPr>
        <xdr:cNvPr id="5" name="Group 9">
          <a:extLst>
            <a:ext uri="{FF2B5EF4-FFF2-40B4-BE49-F238E27FC236}">
              <a16:creationId xmlns:a16="http://schemas.microsoft.com/office/drawing/2014/main" id="{00000000-0008-0000-0800-000005000000}"/>
            </a:ext>
          </a:extLst>
        </xdr:cNvPr>
        <xdr:cNvGrpSpPr>
          <a:grpSpLocks/>
        </xdr:cNvGrpSpPr>
      </xdr:nvGrpSpPr>
      <xdr:grpSpPr bwMode="auto">
        <a:xfrm>
          <a:off x="1028700" y="990600"/>
          <a:ext cx="1152525" cy="1476375"/>
          <a:chOff x="108" y="43"/>
          <a:chExt cx="121" cy="163"/>
        </a:xfrm>
      </xdr:grpSpPr>
      <xdr:sp macro="" textlink="">
        <xdr:nvSpPr>
          <xdr:cNvPr id="6" name="Freeform 10">
            <a:extLst>
              <a:ext uri="{FF2B5EF4-FFF2-40B4-BE49-F238E27FC236}">
                <a16:creationId xmlns:a16="http://schemas.microsoft.com/office/drawing/2014/main" id="{00000000-0008-0000-0800-000006000000}"/>
              </a:ext>
            </a:extLst>
          </xdr:cNvPr>
          <xdr:cNvSpPr>
            <a:spLocks/>
          </xdr:cNvSpPr>
        </xdr:nvSpPr>
        <xdr:spPr bwMode="auto">
          <a:xfrm>
            <a:off x="108" y="57"/>
            <a:ext cx="7" cy="149"/>
          </a:xfrm>
          <a:custGeom>
            <a:avLst/>
            <a:gdLst>
              <a:gd name="T0" fmla="*/ 1 w 7"/>
              <a:gd name="T1" fmla="*/ 0 h 173"/>
              <a:gd name="T2" fmla="*/ 1 w 7"/>
              <a:gd name="T3" fmla="*/ 3 h 173"/>
              <a:gd name="T4" fmla="*/ 7 w 7"/>
              <a:gd name="T5" fmla="*/ 3 h 173"/>
              <a:gd name="T6" fmla="*/ 0 60000 65536"/>
              <a:gd name="T7" fmla="*/ 0 60000 65536"/>
              <a:gd name="T8" fmla="*/ 0 60000 65536"/>
              <a:gd name="T9" fmla="*/ 0 w 7"/>
              <a:gd name="T10" fmla="*/ 0 h 173"/>
              <a:gd name="T11" fmla="*/ 7 w 7"/>
              <a:gd name="T12" fmla="*/ 173 h 173"/>
            </a:gdLst>
            <a:ahLst/>
            <a:cxnLst>
              <a:cxn ang="T6">
                <a:pos x="T0" y="T1"/>
              </a:cxn>
              <a:cxn ang="T7">
                <a:pos x="T2" y="T3"/>
              </a:cxn>
              <a:cxn ang="T8">
                <a:pos x="T4" y="T5"/>
              </a:cxn>
            </a:cxnLst>
            <a:rect l="T9" t="T10" r="T11" b="T12"/>
            <a:pathLst>
              <a:path w="7" h="173">
                <a:moveTo>
                  <a:pt x="1" y="0"/>
                </a:moveTo>
                <a:cubicBezTo>
                  <a:pt x="1" y="18"/>
                  <a:pt x="0" y="83"/>
                  <a:pt x="1" y="112"/>
                </a:cubicBezTo>
                <a:cubicBezTo>
                  <a:pt x="2" y="141"/>
                  <a:pt x="6" y="160"/>
                  <a:pt x="7" y="173"/>
                </a:cubicBezTo>
              </a:path>
            </a:pathLst>
          </a:custGeom>
          <a:noFill/>
          <a:ln w="28575" cmpd="sng">
            <a:solidFill>
              <a:srgbClr val="C0C0C0"/>
            </a:solidFill>
            <a:round/>
            <a:headEnd type="none" w="med" len="med"/>
            <a:tailEnd type="none" w="med" len="med"/>
          </a:ln>
        </xdr:spPr>
      </xdr:sp>
      <xdr:sp macro="" textlink="">
        <xdr:nvSpPr>
          <xdr:cNvPr id="7" name="Freeform 11">
            <a:extLst>
              <a:ext uri="{FF2B5EF4-FFF2-40B4-BE49-F238E27FC236}">
                <a16:creationId xmlns:a16="http://schemas.microsoft.com/office/drawing/2014/main" id="{00000000-0008-0000-0800-000007000000}"/>
              </a:ext>
            </a:extLst>
          </xdr:cNvPr>
          <xdr:cNvSpPr>
            <a:spLocks/>
          </xdr:cNvSpPr>
        </xdr:nvSpPr>
        <xdr:spPr bwMode="auto">
          <a:xfrm>
            <a:off x="222" y="43"/>
            <a:ext cx="7" cy="163"/>
          </a:xfrm>
          <a:custGeom>
            <a:avLst/>
            <a:gdLst>
              <a:gd name="T0" fmla="*/ 5 w 7"/>
              <a:gd name="T1" fmla="*/ 0 h 163"/>
              <a:gd name="T2" fmla="*/ 6 w 7"/>
              <a:gd name="T3" fmla="*/ 110 h 163"/>
              <a:gd name="T4" fmla="*/ 0 w 7"/>
              <a:gd name="T5" fmla="*/ 163 h 163"/>
              <a:gd name="T6" fmla="*/ 0 60000 65536"/>
              <a:gd name="T7" fmla="*/ 0 60000 65536"/>
              <a:gd name="T8" fmla="*/ 0 60000 65536"/>
              <a:gd name="T9" fmla="*/ 0 w 7"/>
              <a:gd name="T10" fmla="*/ 0 h 163"/>
              <a:gd name="T11" fmla="*/ 7 w 7"/>
              <a:gd name="T12" fmla="*/ 163 h 163"/>
            </a:gdLst>
            <a:ahLst/>
            <a:cxnLst>
              <a:cxn ang="T6">
                <a:pos x="T0" y="T1"/>
              </a:cxn>
              <a:cxn ang="T7">
                <a:pos x="T2" y="T3"/>
              </a:cxn>
              <a:cxn ang="T8">
                <a:pos x="T4" y="T5"/>
              </a:cxn>
            </a:cxnLst>
            <a:rect l="T9" t="T10" r="T11" b="T12"/>
            <a:pathLst>
              <a:path w="7" h="163">
                <a:moveTo>
                  <a:pt x="5" y="0"/>
                </a:moveTo>
                <a:cubicBezTo>
                  <a:pt x="5" y="18"/>
                  <a:pt x="7" y="83"/>
                  <a:pt x="6" y="110"/>
                </a:cubicBezTo>
                <a:cubicBezTo>
                  <a:pt x="5" y="137"/>
                  <a:pt x="1" y="152"/>
                  <a:pt x="0" y="163"/>
                </a:cubicBezTo>
              </a:path>
            </a:pathLst>
          </a:custGeom>
          <a:noFill/>
          <a:ln w="28575" cmpd="sng">
            <a:solidFill>
              <a:srgbClr val="C0C0C0"/>
            </a:solidFill>
            <a:round/>
            <a:headEnd type="none" w="med" len="med"/>
            <a:tailEnd type="none" w="med" len="med"/>
          </a:ln>
        </xdr:spPr>
      </xdr:sp>
    </xdr:grpSp>
    <xdr:clientData/>
  </xdr:twoCellAnchor>
  <xdr:oneCellAnchor>
    <xdr:from>
      <xdr:col>8</xdr:col>
      <xdr:colOff>962025</xdr:colOff>
      <xdr:row>30</xdr:row>
      <xdr:rowOff>9525</xdr:rowOff>
    </xdr:from>
    <xdr:ext cx="161925" cy="857250"/>
    <xdr:sp macro="" textlink="">
      <xdr:nvSpPr>
        <xdr:cNvPr id="8" name="Text Box 12">
          <a:extLst>
            <a:ext uri="{FF2B5EF4-FFF2-40B4-BE49-F238E27FC236}">
              <a16:creationId xmlns:a16="http://schemas.microsoft.com/office/drawing/2014/main" id="{00000000-0008-0000-0800-000008000000}"/>
            </a:ext>
          </a:extLst>
        </xdr:cNvPr>
        <xdr:cNvSpPr txBox="1">
          <a:spLocks noChangeArrowheads="1"/>
        </xdr:cNvSpPr>
      </xdr:nvSpPr>
      <xdr:spPr bwMode="auto">
        <a:xfrm>
          <a:off x="3438525" y="5534025"/>
          <a:ext cx="161925" cy="857250"/>
        </a:xfrm>
        <a:prstGeom prst="rect">
          <a:avLst/>
        </a:prstGeom>
        <a:noFill/>
        <a:ln w="9525" algn="ctr">
          <a:noFill/>
          <a:miter lim="800000"/>
          <a:headEnd/>
          <a:tailEnd/>
        </a:ln>
        <a:effectLst/>
      </xdr:spPr>
      <xdr:txBody>
        <a:bodyPr vert="wordArtVert" wrap="none" lIns="18288" tIns="0" rIns="0" bIns="0" anchor="t" upright="1">
          <a:spAutoFit/>
        </a:bodyPr>
        <a:lstStyle/>
        <a:p>
          <a:pPr algn="l" rtl="0">
            <a:defRPr sz="1000"/>
          </a:pPr>
          <a:r>
            <a:rPr lang="en-US" sz="800" b="1" i="0" u="none" strike="noStrike" baseline="0">
              <a:solidFill>
                <a:srgbClr val="000000"/>
              </a:solidFill>
              <a:latin typeface="Arial"/>
              <a:cs typeface="Arial"/>
            </a:rPr>
            <a:t>Weight</a:t>
          </a:r>
        </a:p>
      </xdr:txBody>
    </xdr:sp>
    <xdr:clientData/>
  </xdr:oneCellAnchor>
  <xdr:oneCellAnchor>
    <xdr:from>
      <xdr:col>11</xdr:col>
      <xdr:colOff>542925</xdr:colOff>
      <xdr:row>21</xdr:row>
      <xdr:rowOff>66675</xdr:rowOff>
    </xdr:from>
    <xdr:ext cx="704850" cy="161925"/>
    <xdr:sp macro="" textlink="">
      <xdr:nvSpPr>
        <xdr:cNvPr id="9" name="Text Box 13">
          <a:extLst>
            <a:ext uri="{FF2B5EF4-FFF2-40B4-BE49-F238E27FC236}">
              <a16:creationId xmlns:a16="http://schemas.microsoft.com/office/drawing/2014/main" id="{00000000-0008-0000-0800-000009000000}"/>
            </a:ext>
          </a:extLst>
        </xdr:cNvPr>
        <xdr:cNvSpPr txBox="1">
          <a:spLocks noChangeArrowheads="1"/>
        </xdr:cNvSpPr>
      </xdr:nvSpPr>
      <xdr:spPr bwMode="auto">
        <a:xfrm>
          <a:off x="5657850" y="4038600"/>
          <a:ext cx="704850" cy="1619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a:cs typeface="Arial"/>
            </a:rPr>
            <a:t>C.G. Location</a:t>
          </a:r>
        </a:p>
      </xdr:txBody>
    </xdr:sp>
    <xdr:clientData/>
  </xdr:oneCellAnchor>
  <xdr:twoCellAnchor editAs="oneCell">
    <xdr:from>
      <xdr:col>12</xdr:col>
      <xdr:colOff>1724025</xdr:colOff>
      <xdr:row>1</xdr:row>
      <xdr:rowOff>57150</xdr:rowOff>
    </xdr:from>
    <xdr:to>
      <xdr:col>12</xdr:col>
      <xdr:colOff>2447925</xdr:colOff>
      <xdr:row>5</xdr:row>
      <xdr:rowOff>100965</xdr:rowOff>
    </xdr:to>
    <xdr:pic>
      <xdr:nvPicPr>
        <xdr:cNvPr id="10" name="Picture 14" descr="CAP-LOGO-1">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9525" y="342900"/>
          <a:ext cx="723900" cy="729615"/>
        </a:xfrm>
        <a:prstGeom prst="rect">
          <a:avLst/>
        </a:prstGeom>
        <a:noFill/>
        <a:ln w="9525">
          <a:noFill/>
          <a:miter lim="800000"/>
          <a:headEnd/>
          <a:tailEnd/>
        </a:ln>
      </xdr:spPr>
    </xdr:pic>
    <xdr:clientData/>
  </xdr:twoCellAnchor>
  <xdr:twoCellAnchor>
    <xdr:from>
      <xdr:col>26</xdr:col>
      <xdr:colOff>57150</xdr:colOff>
      <xdr:row>8</xdr:row>
      <xdr:rowOff>9525</xdr:rowOff>
    </xdr:from>
    <xdr:to>
      <xdr:col>27</xdr:col>
      <xdr:colOff>552450</xdr:colOff>
      <xdr:row>15</xdr:row>
      <xdr:rowOff>85725</xdr:rowOff>
    </xdr:to>
    <xdr:sp macro="" textlink="">
      <xdr:nvSpPr>
        <xdr:cNvPr id="11" name="Freeform 26">
          <a:extLst>
            <a:ext uri="{FF2B5EF4-FFF2-40B4-BE49-F238E27FC236}">
              <a16:creationId xmlns:a16="http://schemas.microsoft.com/office/drawing/2014/main" id="{00000000-0008-0000-0800-00000B000000}"/>
            </a:ext>
          </a:extLst>
        </xdr:cNvPr>
        <xdr:cNvSpPr>
          <a:spLocks/>
        </xdr:cNvSpPr>
      </xdr:nvSpPr>
      <xdr:spPr bwMode="auto">
        <a:xfrm>
          <a:off x="8972550" y="1524000"/>
          <a:ext cx="0" cy="140970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57150</xdr:colOff>
      <xdr:row>8</xdr:row>
      <xdr:rowOff>66675</xdr:rowOff>
    </xdr:from>
    <xdr:to>
      <xdr:col>32</xdr:col>
      <xdr:colOff>600075</xdr:colOff>
      <xdr:row>15</xdr:row>
      <xdr:rowOff>142875</xdr:rowOff>
    </xdr:to>
    <xdr:sp macro="" textlink="">
      <xdr:nvSpPr>
        <xdr:cNvPr id="12" name="Freeform 28">
          <a:extLst>
            <a:ext uri="{FF2B5EF4-FFF2-40B4-BE49-F238E27FC236}">
              <a16:creationId xmlns:a16="http://schemas.microsoft.com/office/drawing/2014/main" id="{00000000-0008-0000-0800-00000C000000}"/>
            </a:ext>
          </a:extLst>
        </xdr:cNvPr>
        <xdr:cNvSpPr>
          <a:spLocks/>
        </xdr:cNvSpPr>
      </xdr:nvSpPr>
      <xdr:spPr bwMode="auto">
        <a:xfrm>
          <a:off x="8972550" y="1581150"/>
          <a:ext cx="0" cy="1409700"/>
        </a:xfrm>
        <a:custGeom>
          <a:avLst/>
          <a:gdLst>
            <a:gd name="T0" fmla="*/ 0 w 1247775"/>
            <a:gd name="T1" fmla="*/ 1443274 h 1152525"/>
            <a:gd name="T2" fmla="*/ 6933 w 1247775"/>
            <a:gd name="T3" fmla="*/ 679889 h 1152525"/>
            <a:gd name="T4" fmla="*/ 349519 w 1247775"/>
            <a:gd name="T5" fmla="*/ 0 h 1152525"/>
            <a:gd name="T6" fmla="*/ 908224 w 1247775"/>
            <a:gd name="T7" fmla="*/ 0 h 1152525"/>
            <a:gd name="T8" fmla="*/ 901291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6476 w 1247775"/>
            <a:gd name="connsiteY2" fmla="*/ 256982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42487 w 1247775"/>
            <a:gd name="connsiteY2" fmla="*/ 207143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42487" y="207143"/>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12</xdr:col>
      <xdr:colOff>38100</xdr:colOff>
      <xdr:row>28</xdr:row>
      <xdr:rowOff>22857</xdr:rowOff>
    </xdr:from>
    <xdr:to>
      <xdr:col>12</xdr:col>
      <xdr:colOff>2014924</xdr:colOff>
      <xdr:row>28</xdr:row>
      <xdr:rowOff>83818</xdr:rowOff>
    </xdr:to>
    <xdr:sp macro="" textlink="">
      <xdr:nvSpPr>
        <xdr:cNvPr id="13" name="Freeform 12">
          <a:extLst>
            <a:ext uri="{FF2B5EF4-FFF2-40B4-BE49-F238E27FC236}">
              <a16:creationId xmlns:a16="http://schemas.microsoft.com/office/drawing/2014/main" id="{00000000-0008-0000-0800-00000D000000}"/>
            </a:ext>
          </a:extLst>
        </xdr:cNvPr>
        <xdr:cNvSpPr/>
      </xdr:nvSpPr>
      <xdr:spPr bwMode="auto">
        <a:xfrm flipV="1">
          <a:off x="6123428" y="5179697"/>
          <a:ext cx="1976824" cy="60961"/>
        </a:xfrm>
        <a:custGeom>
          <a:avLst/>
          <a:gdLst>
            <a:gd name="connsiteX0" fmla="*/ 0 w 1813560"/>
            <a:gd name="connsiteY0" fmla="*/ 0 h 0"/>
            <a:gd name="connsiteX1" fmla="*/ 1813560 w 1813560"/>
            <a:gd name="connsiteY1" fmla="*/ 0 h 0"/>
          </a:gdLst>
          <a:ahLst/>
          <a:cxnLst>
            <a:cxn ang="0">
              <a:pos x="connsiteX0" y="connsiteY0"/>
            </a:cxn>
            <a:cxn ang="0">
              <a:pos x="connsiteX1" y="connsiteY1"/>
            </a:cxn>
          </a:cxnLst>
          <a:rect l="l" t="t" r="r" b="b"/>
          <a:pathLst>
            <a:path w="1813560">
              <a:moveTo>
                <a:pt x="0" y="0"/>
              </a:moveTo>
              <a:lnTo>
                <a:pt x="1813560" y="0"/>
              </a:lnTo>
            </a:path>
          </a:pathLst>
        </a:custGeom>
        <a:noFill/>
        <a:ln w="19050" cap="flat" cmpd="sng" algn="ctr">
          <a:solidFill>
            <a:srgbClr val="FF0000"/>
          </a:solidFill>
          <a:prstDash val="dash"/>
          <a:round/>
          <a:headEnd type="none" w="med" len="med"/>
          <a:tailEnd type="none" w="med" len="med"/>
        </a:ln>
        <a:effectLst/>
      </xdr:spPr>
      <xdr:txBody>
        <a:bodyPr vertOverflow="clip" horzOverflow="clip" wrap="square" lIns="18288" tIns="0" rIns="0" bIns="0" rtlCol="0" anchor="t" upright="1">
          <a:spAutoFit/>
        </a:bodyPr>
        <a:lstStyle/>
        <a:p>
          <a:pPr algn="l"/>
          <a:endParaRPr lang="en-US" sz="1100"/>
        </a:p>
      </xdr:txBody>
    </xdr:sp>
    <xdr:clientData/>
  </xdr:twoCellAnchor>
  <xdr:twoCellAnchor>
    <xdr:from>
      <xdr:col>26</xdr:col>
      <xdr:colOff>38100</xdr:colOff>
      <xdr:row>9</xdr:row>
      <xdr:rowOff>91440</xdr:rowOff>
    </xdr:from>
    <xdr:to>
      <xdr:col>26</xdr:col>
      <xdr:colOff>167640</xdr:colOff>
      <xdr:row>9</xdr:row>
      <xdr:rowOff>114300</xdr:rowOff>
    </xdr:to>
    <xdr:sp macro="" textlink="">
      <xdr:nvSpPr>
        <xdr:cNvPr id="14" name="Freeform 13">
          <a:extLst>
            <a:ext uri="{FF2B5EF4-FFF2-40B4-BE49-F238E27FC236}">
              <a16:creationId xmlns:a16="http://schemas.microsoft.com/office/drawing/2014/main" id="{00000000-0008-0000-0800-00000E000000}"/>
            </a:ext>
          </a:extLst>
        </xdr:cNvPr>
        <xdr:cNvSpPr/>
      </xdr:nvSpPr>
      <xdr:spPr bwMode="auto">
        <a:xfrm>
          <a:off x="8972550" y="1796415"/>
          <a:ext cx="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30480</xdr:colOff>
      <xdr:row>9</xdr:row>
      <xdr:rowOff>106680</xdr:rowOff>
    </xdr:from>
    <xdr:to>
      <xdr:col>31</xdr:col>
      <xdr:colOff>160020</xdr:colOff>
      <xdr:row>9</xdr:row>
      <xdr:rowOff>129540</xdr:rowOff>
    </xdr:to>
    <xdr:sp macro="" textlink="">
      <xdr:nvSpPr>
        <xdr:cNvPr id="15" name="Freeform 14">
          <a:extLst>
            <a:ext uri="{FF2B5EF4-FFF2-40B4-BE49-F238E27FC236}">
              <a16:creationId xmlns:a16="http://schemas.microsoft.com/office/drawing/2014/main" id="{00000000-0008-0000-0800-00000F000000}"/>
            </a:ext>
          </a:extLst>
        </xdr:cNvPr>
        <xdr:cNvSpPr/>
      </xdr:nvSpPr>
      <xdr:spPr bwMode="auto">
        <a:xfrm>
          <a:off x="8972550" y="1811655"/>
          <a:ext cx="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64770</xdr:colOff>
      <xdr:row>32</xdr:row>
      <xdr:rowOff>9525</xdr:rowOff>
    </xdr:from>
    <xdr:to>
      <xdr:col>27</xdr:col>
      <xdr:colOff>560070</xdr:colOff>
      <xdr:row>40</xdr:row>
      <xdr:rowOff>32385</xdr:rowOff>
    </xdr:to>
    <xdr:sp macro="" textlink="">
      <xdr:nvSpPr>
        <xdr:cNvPr id="16" name="Freeform 26">
          <a:extLst>
            <a:ext uri="{FF2B5EF4-FFF2-40B4-BE49-F238E27FC236}">
              <a16:creationId xmlns:a16="http://schemas.microsoft.com/office/drawing/2014/main" id="{00000000-0008-0000-0800-000010000000}"/>
            </a:ext>
          </a:extLst>
        </xdr:cNvPr>
        <xdr:cNvSpPr>
          <a:spLocks/>
        </xdr:cNvSpPr>
      </xdr:nvSpPr>
      <xdr:spPr bwMode="auto">
        <a:xfrm>
          <a:off x="8972550" y="5905500"/>
          <a:ext cx="0" cy="137541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31</xdr:col>
      <xdr:colOff>26670</xdr:colOff>
      <xdr:row>32</xdr:row>
      <xdr:rowOff>40005</xdr:rowOff>
    </xdr:from>
    <xdr:to>
      <xdr:col>32</xdr:col>
      <xdr:colOff>521970</xdr:colOff>
      <xdr:row>40</xdr:row>
      <xdr:rowOff>62865</xdr:rowOff>
    </xdr:to>
    <xdr:sp macro="" textlink="">
      <xdr:nvSpPr>
        <xdr:cNvPr id="17" name="Freeform 26">
          <a:extLst>
            <a:ext uri="{FF2B5EF4-FFF2-40B4-BE49-F238E27FC236}">
              <a16:creationId xmlns:a16="http://schemas.microsoft.com/office/drawing/2014/main" id="{00000000-0008-0000-0800-000011000000}"/>
            </a:ext>
          </a:extLst>
        </xdr:cNvPr>
        <xdr:cNvSpPr>
          <a:spLocks/>
        </xdr:cNvSpPr>
      </xdr:nvSpPr>
      <xdr:spPr bwMode="auto">
        <a:xfrm>
          <a:off x="8972550" y="5935980"/>
          <a:ext cx="0" cy="1375410"/>
        </a:xfrm>
        <a:custGeom>
          <a:avLst/>
          <a:gdLst>
            <a:gd name="T0" fmla="*/ 0 w 1247775"/>
            <a:gd name="T1" fmla="*/ 1443274 h 1152525"/>
            <a:gd name="T2" fmla="*/ 5856 w 1247775"/>
            <a:gd name="T3" fmla="*/ 679889 h 1152525"/>
            <a:gd name="T4" fmla="*/ 295231 w 1247775"/>
            <a:gd name="T5" fmla="*/ 0 h 1152525"/>
            <a:gd name="T6" fmla="*/ 767155 w 1247775"/>
            <a:gd name="T7" fmla="*/ 0 h 1152525"/>
            <a:gd name="T8" fmla="*/ 761299 w 1247775"/>
            <a:gd name="T9" fmla="*/ 1419417 h 1152525"/>
            <a:gd name="T10" fmla="*/ 0 60000 65536"/>
            <a:gd name="T11" fmla="*/ 0 60000 65536"/>
            <a:gd name="T12" fmla="*/ 0 60000 65536"/>
            <a:gd name="T13" fmla="*/ 0 60000 65536"/>
            <a:gd name="T14" fmla="*/ 0 60000 65536"/>
            <a:gd name="T15" fmla="*/ 0 w 1247775"/>
            <a:gd name="T16" fmla="*/ 0 h 1152525"/>
            <a:gd name="T17" fmla="*/ 1247775 w 1247775"/>
            <a:gd name="T18" fmla="*/ 1152525 h 1152525"/>
            <a:gd name="connsiteX0" fmla="*/ 0 w 1247775"/>
            <a:gd name="connsiteY0" fmla="*/ 1152525 h 1152525"/>
            <a:gd name="connsiteX1" fmla="*/ 9525 w 1247775"/>
            <a:gd name="connsiteY1" fmla="*/ 542925 h 1152525"/>
            <a:gd name="connsiteX2" fmla="*/ 258892 w 1247775"/>
            <a:gd name="connsiteY2" fmla="*/ 253867 h 1152525"/>
            <a:gd name="connsiteX3" fmla="*/ 480192 w 1247775"/>
            <a:gd name="connsiteY3" fmla="*/ 0 h 1152525"/>
            <a:gd name="connsiteX4" fmla="*/ 1247775 w 1247775"/>
            <a:gd name="connsiteY4" fmla="*/ 0 h 1152525"/>
            <a:gd name="connsiteX5" fmla="*/ 1238250 w 1247775"/>
            <a:gd name="connsiteY5" fmla="*/ 1133475 h 1152525"/>
            <a:gd name="connsiteX0" fmla="*/ 0 w 1247775"/>
            <a:gd name="connsiteY0" fmla="*/ 1152525 h 1152525"/>
            <a:gd name="connsiteX1" fmla="*/ 9525 w 1247775"/>
            <a:gd name="connsiteY1" fmla="*/ 542925 h 1152525"/>
            <a:gd name="connsiteX2" fmla="*/ 174009 w 1247775"/>
            <a:gd name="connsiteY2" fmla="*/ 222718 h 1152525"/>
            <a:gd name="connsiteX3" fmla="*/ 480192 w 1247775"/>
            <a:gd name="connsiteY3" fmla="*/ 0 h 1152525"/>
            <a:gd name="connsiteX4" fmla="*/ 1247775 w 1247775"/>
            <a:gd name="connsiteY4" fmla="*/ 0 h 1152525"/>
            <a:gd name="connsiteX5" fmla="*/ 1238250 w 1247775"/>
            <a:gd name="connsiteY5" fmla="*/ 1133475 h 11525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47775" h="1152525">
              <a:moveTo>
                <a:pt x="0" y="1152525"/>
              </a:moveTo>
              <a:lnTo>
                <a:pt x="9525" y="542925"/>
              </a:lnTo>
              <a:lnTo>
                <a:pt x="174009" y="222718"/>
              </a:lnTo>
              <a:lnTo>
                <a:pt x="480192" y="0"/>
              </a:lnTo>
              <a:lnTo>
                <a:pt x="1247775" y="0"/>
              </a:lnTo>
              <a:lnTo>
                <a:pt x="1238250" y="1133475"/>
              </a:lnTo>
            </a:path>
          </a:pathLst>
        </a:custGeom>
        <a:noFill/>
        <a:ln w="9525" cap="flat" cmpd="sng" algn="ctr">
          <a:solidFill>
            <a:srgbClr val="000000"/>
          </a:solidFill>
          <a:prstDash val="solid"/>
          <a:round/>
          <a:headEnd type="none" w="med" len="med"/>
          <a:tailEnd type="none" w="med" len="med"/>
        </a:ln>
      </xdr:spPr>
    </xdr:sp>
    <xdr:clientData/>
  </xdr:twoCellAnchor>
  <xdr:twoCellAnchor>
    <xdr:from>
      <xdr:col>26</xdr:col>
      <xdr:colOff>38100</xdr:colOff>
      <xdr:row>33</xdr:row>
      <xdr:rowOff>121920</xdr:rowOff>
    </xdr:from>
    <xdr:to>
      <xdr:col>26</xdr:col>
      <xdr:colOff>167640</xdr:colOff>
      <xdr:row>33</xdr:row>
      <xdr:rowOff>144780</xdr:rowOff>
    </xdr:to>
    <xdr:sp macro="" textlink="">
      <xdr:nvSpPr>
        <xdr:cNvPr id="18" name="Freeform 17">
          <a:extLst>
            <a:ext uri="{FF2B5EF4-FFF2-40B4-BE49-F238E27FC236}">
              <a16:creationId xmlns:a16="http://schemas.microsoft.com/office/drawing/2014/main" id="{00000000-0008-0000-0800-000012000000}"/>
            </a:ext>
          </a:extLst>
        </xdr:cNvPr>
        <xdr:cNvSpPr/>
      </xdr:nvSpPr>
      <xdr:spPr bwMode="auto">
        <a:xfrm>
          <a:off x="8972550" y="6179820"/>
          <a:ext cx="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26</xdr:col>
      <xdr:colOff>38100</xdr:colOff>
      <xdr:row>59</xdr:row>
      <xdr:rowOff>38100</xdr:rowOff>
    </xdr:from>
    <xdr:to>
      <xdr:col>26</xdr:col>
      <xdr:colOff>167640</xdr:colOff>
      <xdr:row>59</xdr:row>
      <xdr:rowOff>60960</xdr:rowOff>
    </xdr:to>
    <xdr:sp macro="" textlink="">
      <xdr:nvSpPr>
        <xdr:cNvPr id="19" name="Freeform 18">
          <a:extLst>
            <a:ext uri="{FF2B5EF4-FFF2-40B4-BE49-F238E27FC236}">
              <a16:creationId xmlns:a16="http://schemas.microsoft.com/office/drawing/2014/main" id="{00000000-0008-0000-0800-000013000000}"/>
            </a:ext>
          </a:extLst>
        </xdr:cNvPr>
        <xdr:cNvSpPr/>
      </xdr:nvSpPr>
      <xdr:spPr bwMode="auto">
        <a:xfrm>
          <a:off x="8972550" y="10487025"/>
          <a:ext cx="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twoCellAnchor>
    <xdr:from>
      <xdr:col>31</xdr:col>
      <xdr:colOff>0</xdr:colOff>
      <xdr:row>33</xdr:row>
      <xdr:rowOff>114300</xdr:rowOff>
    </xdr:from>
    <xdr:to>
      <xdr:col>31</xdr:col>
      <xdr:colOff>129540</xdr:colOff>
      <xdr:row>33</xdr:row>
      <xdr:rowOff>137160</xdr:rowOff>
    </xdr:to>
    <xdr:sp macro="" textlink="">
      <xdr:nvSpPr>
        <xdr:cNvPr id="20" name="Freeform 19">
          <a:extLst>
            <a:ext uri="{FF2B5EF4-FFF2-40B4-BE49-F238E27FC236}">
              <a16:creationId xmlns:a16="http://schemas.microsoft.com/office/drawing/2014/main" id="{00000000-0008-0000-0800-000014000000}"/>
            </a:ext>
          </a:extLst>
        </xdr:cNvPr>
        <xdr:cNvSpPr/>
      </xdr:nvSpPr>
      <xdr:spPr bwMode="auto">
        <a:xfrm>
          <a:off x="8972550" y="6172200"/>
          <a:ext cx="0" cy="22860"/>
        </a:xfrm>
        <a:custGeom>
          <a:avLst/>
          <a:gdLst>
            <a:gd name="connsiteX0" fmla="*/ 0 w 129540"/>
            <a:gd name="connsiteY0" fmla="*/ 0 h 22860"/>
            <a:gd name="connsiteX1" fmla="*/ 129540 w 129540"/>
            <a:gd name="connsiteY1" fmla="*/ 22860 h 22860"/>
          </a:gdLst>
          <a:ahLst/>
          <a:cxnLst>
            <a:cxn ang="0">
              <a:pos x="connsiteX0" y="connsiteY0"/>
            </a:cxn>
            <a:cxn ang="0">
              <a:pos x="connsiteX1" y="connsiteY1"/>
            </a:cxn>
          </a:cxnLst>
          <a:rect l="l" t="t" r="r" b="b"/>
          <a:pathLst>
            <a:path w="129540" h="22860">
              <a:moveTo>
                <a:pt x="0" y="0"/>
              </a:moveTo>
              <a:lnTo>
                <a:pt x="129540" y="22860"/>
              </a:lnTo>
            </a:path>
          </a:pathLst>
        </a:custGeom>
        <a:noFill/>
        <a:ln w="6350" cap="flat" cmpd="sng" algn="ctr">
          <a:solidFill>
            <a:schemeClr val="tx1">
              <a:lumMod val="75000"/>
              <a:lumOff val="25000"/>
            </a:schemeClr>
          </a:solidFill>
          <a:prstDash val="solid"/>
          <a:round/>
          <a:headEnd type="none" w="med" len="med"/>
          <a:tailEnd type="arrow" w="sm" len="med"/>
        </a:ln>
        <a:effectLst/>
      </xdr:spPr>
      <xdr:txBody>
        <a:bodyPr vertOverflow="clip" horzOverflow="clip" wrap="none" lIns="18288" tIns="0" rIns="0" bIns="0" rtlCol="0" anchor="t" upright="1">
          <a:spAutoFit/>
        </a:bodyPr>
        <a:lstStyle/>
        <a:p>
          <a:pPr algn="l"/>
          <a:endParaRPr lang="en-US" sz="1100"/>
        </a:p>
      </xdr:txBody>
    </xdr:sp>
    <xdr:clientData/>
  </xdr:twoCellAnchor>
  <xdr:oneCellAnchor>
    <xdr:from>
      <xdr:col>1</xdr:col>
      <xdr:colOff>0</xdr:colOff>
      <xdr:row>13</xdr:row>
      <xdr:rowOff>0</xdr:rowOff>
    </xdr:from>
    <xdr:ext cx="370486" cy="180819"/>
    <xdr:sp macro="" textlink="">
      <xdr:nvSpPr>
        <xdr:cNvPr id="21" name="TextBox 20">
          <a:extLst>
            <a:ext uri="{FF2B5EF4-FFF2-40B4-BE49-F238E27FC236}">
              <a16:creationId xmlns:a16="http://schemas.microsoft.com/office/drawing/2014/main" id="{00000000-0008-0000-0800-000015000000}"/>
            </a:ext>
          </a:extLst>
        </xdr:cNvPr>
        <xdr:cNvSpPr txBox="1"/>
      </xdr:nvSpPr>
      <xdr:spPr>
        <a:xfrm>
          <a:off x="85725" y="2466975"/>
          <a:ext cx="370486" cy="18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000" b="0">
              <a:latin typeface="Arial Black" pitchFamily="34" charset="0"/>
            </a:rPr>
            <a:t>FUEL</a:t>
          </a:r>
        </a:p>
      </xdr:txBody>
    </xdr:sp>
    <xdr:clientData/>
  </xdr:oneCellAnchor>
  <xdr:twoCellAnchor>
    <xdr:from>
      <xdr:col>12</xdr:col>
      <xdr:colOff>49092</xdr:colOff>
      <xdr:row>25</xdr:row>
      <xdr:rowOff>115260</xdr:rowOff>
    </xdr:from>
    <xdr:to>
      <xdr:col>12</xdr:col>
      <xdr:colOff>2026920</xdr:colOff>
      <xdr:row>28</xdr:row>
      <xdr:rowOff>76200</xdr:rowOff>
    </xdr:to>
    <xdr:sp macro="" textlink="">
      <xdr:nvSpPr>
        <xdr:cNvPr id="22" name="Freeform 21">
          <a:extLst>
            <a:ext uri="{FF2B5EF4-FFF2-40B4-BE49-F238E27FC236}">
              <a16:creationId xmlns:a16="http://schemas.microsoft.com/office/drawing/2014/main" id="{00000000-0008-0000-0800-000016000000}"/>
            </a:ext>
          </a:extLst>
        </xdr:cNvPr>
        <xdr:cNvSpPr/>
      </xdr:nvSpPr>
      <xdr:spPr bwMode="auto">
        <a:xfrm>
          <a:off x="6134420" y="4761966"/>
          <a:ext cx="1977828" cy="471074"/>
        </a:xfrm>
        <a:custGeom>
          <a:avLst/>
          <a:gdLst>
            <a:gd name="connsiteX0" fmla="*/ 381000 w 1805940"/>
            <a:gd name="connsiteY0" fmla="*/ 0 h 495300"/>
            <a:gd name="connsiteX1" fmla="*/ 1798320 w 1805940"/>
            <a:gd name="connsiteY1" fmla="*/ 15240 h 495300"/>
            <a:gd name="connsiteX2" fmla="*/ 1805940 w 1805940"/>
            <a:gd name="connsiteY2" fmla="*/ 495300 h 495300"/>
            <a:gd name="connsiteX3" fmla="*/ 0 w 1805940"/>
            <a:gd name="connsiteY3" fmla="*/ 487680 h 495300"/>
            <a:gd name="connsiteX4" fmla="*/ 381000 w 1805940"/>
            <a:gd name="connsiteY4" fmla="*/ 0 h 495300"/>
            <a:gd name="connsiteX0" fmla="*/ 381000 w 1882140"/>
            <a:gd name="connsiteY0" fmla="*/ 0 h 495300"/>
            <a:gd name="connsiteX1" fmla="*/ 1882140 w 1882140"/>
            <a:gd name="connsiteY1" fmla="*/ 76200 h 495300"/>
            <a:gd name="connsiteX2" fmla="*/ 1805940 w 1882140"/>
            <a:gd name="connsiteY2" fmla="*/ 495300 h 495300"/>
            <a:gd name="connsiteX3" fmla="*/ 0 w 1882140"/>
            <a:gd name="connsiteY3" fmla="*/ 487680 h 495300"/>
            <a:gd name="connsiteX4" fmla="*/ 381000 w 1882140"/>
            <a:gd name="connsiteY4" fmla="*/ 0 h 495300"/>
            <a:gd name="connsiteX0" fmla="*/ 381000 w 1882140"/>
            <a:gd name="connsiteY0" fmla="*/ 0 h 533400"/>
            <a:gd name="connsiteX1" fmla="*/ 1882140 w 1882140"/>
            <a:gd name="connsiteY1" fmla="*/ 76200 h 533400"/>
            <a:gd name="connsiteX2" fmla="*/ 1874520 w 1882140"/>
            <a:gd name="connsiteY2" fmla="*/ 533400 h 533400"/>
            <a:gd name="connsiteX3" fmla="*/ 0 w 1882140"/>
            <a:gd name="connsiteY3" fmla="*/ 487680 h 533400"/>
            <a:gd name="connsiteX4" fmla="*/ 381000 w 1882140"/>
            <a:gd name="connsiteY4" fmla="*/ 0 h 53340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289560 w 1790700"/>
            <a:gd name="connsiteY0" fmla="*/ 0 h 541020"/>
            <a:gd name="connsiteX1" fmla="*/ 429260 w 1790700"/>
            <a:gd name="connsiteY1" fmla="*/ 40640 h 541020"/>
            <a:gd name="connsiteX2" fmla="*/ 1790700 w 1790700"/>
            <a:gd name="connsiteY2" fmla="*/ 76200 h 541020"/>
            <a:gd name="connsiteX3" fmla="*/ 1783080 w 1790700"/>
            <a:gd name="connsiteY3" fmla="*/ 533400 h 541020"/>
            <a:gd name="connsiteX4" fmla="*/ 0 w 1790700"/>
            <a:gd name="connsiteY4" fmla="*/ 541020 h 541020"/>
            <a:gd name="connsiteX5" fmla="*/ 289560 w 1790700"/>
            <a:gd name="connsiteY5" fmla="*/ 0 h 541020"/>
            <a:gd name="connsiteX0" fmla="*/ 289560 w 1790700"/>
            <a:gd name="connsiteY0" fmla="*/ 34560 h 575580"/>
            <a:gd name="connsiteX1" fmla="*/ 1790700 w 1790700"/>
            <a:gd name="connsiteY1" fmla="*/ 110760 h 575580"/>
            <a:gd name="connsiteX2" fmla="*/ 1783080 w 1790700"/>
            <a:gd name="connsiteY2" fmla="*/ 567960 h 575580"/>
            <a:gd name="connsiteX3" fmla="*/ 0 w 1790700"/>
            <a:gd name="connsiteY3" fmla="*/ 575580 h 575580"/>
            <a:gd name="connsiteX4" fmla="*/ 289560 w 1790700"/>
            <a:gd name="connsiteY4" fmla="*/ 34560 h 575580"/>
            <a:gd name="connsiteX0" fmla="*/ 289560 w 1790700"/>
            <a:gd name="connsiteY0" fmla="*/ 0 h 541020"/>
            <a:gd name="connsiteX1" fmla="*/ 1790700 w 1790700"/>
            <a:gd name="connsiteY1" fmla="*/ 76200 h 541020"/>
            <a:gd name="connsiteX2" fmla="*/ 1783080 w 1790700"/>
            <a:gd name="connsiteY2" fmla="*/ 533400 h 541020"/>
            <a:gd name="connsiteX3" fmla="*/ 0 w 1790700"/>
            <a:gd name="connsiteY3" fmla="*/ 541020 h 541020"/>
            <a:gd name="connsiteX4" fmla="*/ 289560 w 1790700"/>
            <a:gd name="connsiteY4" fmla="*/ 0 h 541020"/>
            <a:gd name="connsiteX0" fmla="*/ 365760 w 1790700"/>
            <a:gd name="connsiteY0" fmla="*/ 0 h 495300"/>
            <a:gd name="connsiteX1" fmla="*/ 1790700 w 1790700"/>
            <a:gd name="connsiteY1" fmla="*/ 30480 h 495300"/>
            <a:gd name="connsiteX2" fmla="*/ 1783080 w 1790700"/>
            <a:gd name="connsiteY2" fmla="*/ 487680 h 495300"/>
            <a:gd name="connsiteX3" fmla="*/ 0 w 1790700"/>
            <a:gd name="connsiteY3" fmla="*/ 495300 h 495300"/>
            <a:gd name="connsiteX4" fmla="*/ 365760 w 1790700"/>
            <a:gd name="connsiteY4" fmla="*/ 0 h 495300"/>
            <a:gd name="connsiteX0" fmla="*/ 365760 w 1965960"/>
            <a:gd name="connsiteY0" fmla="*/ 0 h 495300"/>
            <a:gd name="connsiteX1" fmla="*/ 1965960 w 1965960"/>
            <a:gd name="connsiteY1" fmla="*/ 0 h 495300"/>
            <a:gd name="connsiteX2" fmla="*/ 1783080 w 1965960"/>
            <a:gd name="connsiteY2" fmla="*/ 487680 h 495300"/>
            <a:gd name="connsiteX3" fmla="*/ 0 w 1965960"/>
            <a:gd name="connsiteY3" fmla="*/ 495300 h 495300"/>
            <a:gd name="connsiteX4" fmla="*/ 365760 w 1965960"/>
            <a:gd name="connsiteY4" fmla="*/ 0 h 495300"/>
            <a:gd name="connsiteX0" fmla="*/ 556260 w 1965960"/>
            <a:gd name="connsiteY0" fmla="*/ 0 h 502920"/>
            <a:gd name="connsiteX1" fmla="*/ 1965960 w 1965960"/>
            <a:gd name="connsiteY1" fmla="*/ 7620 h 502920"/>
            <a:gd name="connsiteX2" fmla="*/ 1783080 w 1965960"/>
            <a:gd name="connsiteY2" fmla="*/ 495300 h 502920"/>
            <a:gd name="connsiteX3" fmla="*/ 0 w 1965960"/>
            <a:gd name="connsiteY3" fmla="*/ 502920 h 502920"/>
            <a:gd name="connsiteX4" fmla="*/ 556260 w 1965960"/>
            <a:gd name="connsiteY4" fmla="*/ 0 h 502920"/>
            <a:gd name="connsiteX0" fmla="*/ 533400 w 1943100"/>
            <a:gd name="connsiteY0" fmla="*/ 0 h 495300"/>
            <a:gd name="connsiteX1" fmla="*/ 1943100 w 1943100"/>
            <a:gd name="connsiteY1" fmla="*/ 7620 h 495300"/>
            <a:gd name="connsiteX2" fmla="*/ 1760220 w 1943100"/>
            <a:gd name="connsiteY2" fmla="*/ 495300 h 495300"/>
            <a:gd name="connsiteX3" fmla="*/ 0 w 1943100"/>
            <a:gd name="connsiteY3" fmla="*/ 426720 h 495300"/>
            <a:gd name="connsiteX4" fmla="*/ 533400 w 1943100"/>
            <a:gd name="connsiteY4" fmla="*/ 0 h 495300"/>
            <a:gd name="connsiteX0" fmla="*/ 533400 w 1958340"/>
            <a:gd name="connsiteY0" fmla="*/ 0 h 434340"/>
            <a:gd name="connsiteX1" fmla="*/ 1943100 w 1958340"/>
            <a:gd name="connsiteY1" fmla="*/ 7620 h 434340"/>
            <a:gd name="connsiteX2" fmla="*/ 1958340 w 1958340"/>
            <a:gd name="connsiteY2" fmla="*/ 434340 h 434340"/>
            <a:gd name="connsiteX3" fmla="*/ 0 w 1958340"/>
            <a:gd name="connsiteY3" fmla="*/ 426720 h 434340"/>
            <a:gd name="connsiteX4" fmla="*/ 533400 w 1958340"/>
            <a:gd name="connsiteY4" fmla="*/ 0 h 4343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58340" h="434340">
              <a:moveTo>
                <a:pt x="533400" y="0"/>
              </a:moveTo>
              <a:lnTo>
                <a:pt x="1943100" y="7620"/>
              </a:lnTo>
              <a:lnTo>
                <a:pt x="1958340" y="434340"/>
              </a:lnTo>
              <a:lnTo>
                <a:pt x="0" y="426720"/>
              </a:lnTo>
              <a:lnTo>
                <a:pt x="533400" y="0"/>
              </a:lnTo>
              <a:close/>
            </a:path>
          </a:pathLst>
        </a:custGeom>
        <a:solidFill>
          <a:srgbClr val="A6A6A6">
            <a:alpha val="25000"/>
          </a:srgbClr>
        </a:solidFill>
        <a:ln w="9525" cap="flat" cmpd="sng" algn="ctr">
          <a:noFill/>
          <a:prstDash val="solid"/>
          <a:round/>
          <a:headEnd type="none" w="med" len="med"/>
          <a:tailEnd type="none" w="med" len="med"/>
        </a:ln>
        <a:effectLst/>
      </xdr:spPr>
      <xdr:txBody>
        <a:bodyPr rot="0" spcFirstLastPara="0" vert="horz" wrap="square" lIns="18288" tIns="0" rIns="0" bIns="0" numCol="1" spcCol="0" rtlCol="0" fromWordArt="0" anchor="t" anchorCtr="0" forceAA="0" upright="1"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lang="en-US" sz="1100"/>
        </a:p>
      </xdr:txBody>
    </xdr:sp>
    <xdr:clientData/>
  </xdr:twoCellAnchor>
  <xdr:twoCellAnchor>
    <xdr:from>
      <xdr:col>15</xdr:col>
      <xdr:colOff>83820</xdr:colOff>
      <xdr:row>2</xdr:row>
      <xdr:rowOff>144780</xdr:rowOff>
    </xdr:from>
    <xdr:to>
      <xdr:col>15</xdr:col>
      <xdr:colOff>352419</xdr:colOff>
      <xdr:row>4</xdr:row>
      <xdr:rowOff>64887</xdr:rowOff>
    </xdr:to>
    <xdr:sp macro="" textlink="">
      <xdr:nvSpPr>
        <xdr:cNvPr id="23" name="Freeform 22">
          <a:extLst>
            <a:ext uri="{FF2B5EF4-FFF2-40B4-BE49-F238E27FC236}">
              <a16:creationId xmlns:a16="http://schemas.microsoft.com/office/drawing/2014/main" id="{00000000-0008-0000-0800-000017000000}"/>
            </a:ext>
          </a:extLst>
        </xdr:cNvPr>
        <xdr:cNvSpPr/>
      </xdr:nvSpPr>
      <xdr:spPr bwMode="auto">
        <a:xfrm>
          <a:off x="8972550" y="621030"/>
          <a:ext cx="0" cy="263007"/>
        </a:xfrm>
        <a:custGeom>
          <a:avLst/>
          <a:gdLst>
            <a:gd name="connsiteX0" fmla="*/ 441960 w 617220"/>
            <a:gd name="connsiteY0" fmla="*/ 0 h 647700"/>
            <a:gd name="connsiteX1" fmla="*/ 175260 w 617220"/>
            <a:gd name="connsiteY1" fmla="*/ 0 h 647700"/>
            <a:gd name="connsiteX2" fmla="*/ 0 w 617220"/>
            <a:gd name="connsiteY2" fmla="*/ 220980 h 647700"/>
            <a:gd name="connsiteX3" fmla="*/ 22860 w 617220"/>
            <a:gd name="connsiteY3" fmla="*/ 518160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47700"/>
            <a:gd name="connsiteX1" fmla="*/ 175260 w 617220"/>
            <a:gd name="connsiteY1" fmla="*/ 0 h 647700"/>
            <a:gd name="connsiteX2" fmla="*/ 0 w 617220"/>
            <a:gd name="connsiteY2" fmla="*/ 220980 h 647700"/>
            <a:gd name="connsiteX3" fmla="*/ 2195 w 617220"/>
            <a:gd name="connsiteY3" fmla="*/ 463062 h 647700"/>
            <a:gd name="connsiteX4" fmla="*/ 266700 w 617220"/>
            <a:gd name="connsiteY4" fmla="*/ 647700 h 647700"/>
            <a:gd name="connsiteX5" fmla="*/ 464820 w 617220"/>
            <a:gd name="connsiteY5" fmla="*/ 632460 h 647700"/>
            <a:gd name="connsiteX6" fmla="*/ 617220 w 617220"/>
            <a:gd name="connsiteY6" fmla="*/ 419100 h 647700"/>
            <a:gd name="connsiteX7" fmla="*/ 609600 w 617220"/>
            <a:gd name="connsiteY7" fmla="*/ 160020 h 647700"/>
            <a:gd name="connsiteX8" fmla="*/ 441960 w 617220"/>
            <a:gd name="connsiteY8" fmla="*/ 0 h 647700"/>
            <a:gd name="connsiteX0" fmla="*/ 441960 w 617220"/>
            <a:gd name="connsiteY0" fmla="*/ 0 h 632460"/>
            <a:gd name="connsiteX1" fmla="*/ 175260 w 617220"/>
            <a:gd name="connsiteY1" fmla="*/ 0 h 632460"/>
            <a:gd name="connsiteX2" fmla="*/ 0 w 617220"/>
            <a:gd name="connsiteY2" fmla="*/ 220980 h 632460"/>
            <a:gd name="connsiteX3" fmla="*/ 2195 w 617220"/>
            <a:gd name="connsiteY3" fmla="*/ 463062 h 632460"/>
            <a:gd name="connsiteX4" fmla="*/ 208840 w 617220"/>
            <a:gd name="connsiteY4" fmla="*/ 629334 h 632460"/>
            <a:gd name="connsiteX5" fmla="*/ 464820 w 617220"/>
            <a:gd name="connsiteY5" fmla="*/ 632460 h 632460"/>
            <a:gd name="connsiteX6" fmla="*/ 617220 w 617220"/>
            <a:gd name="connsiteY6" fmla="*/ 419100 h 632460"/>
            <a:gd name="connsiteX7" fmla="*/ 609600 w 617220"/>
            <a:gd name="connsiteY7" fmla="*/ 160020 h 632460"/>
            <a:gd name="connsiteX8" fmla="*/ 441960 w 617220"/>
            <a:gd name="connsiteY8" fmla="*/ 0 h 632460"/>
            <a:gd name="connsiteX0" fmla="*/ 441960 w 617220"/>
            <a:gd name="connsiteY0" fmla="*/ 0 h 629334"/>
            <a:gd name="connsiteX1" fmla="*/ 175260 w 617220"/>
            <a:gd name="connsiteY1" fmla="*/ 0 h 629334"/>
            <a:gd name="connsiteX2" fmla="*/ 0 w 617220"/>
            <a:gd name="connsiteY2" fmla="*/ 220980 h 629334"/>
            <a:gd name="connsiteX3" fmla="*/ 2195 w 617220"/>
            <a:gd name="connsiteY3" fmla="*/ 463062 h 629334"/>
            <a:gd name="connsiteX4" fmla="*/ 208840 w 617220"/>
            <a:gd name="connsiteY4" fmla="*/ 629334 h 629334"/>
            <a:gd name="connsiteX5" fmla="*/ 464820 w 617220"/>
            <a:gd name="connsiteY5" fmla="*/ 623277 h 629334"/>
            <a:gd name="connsiteX6" fmla="*/ 617220 w 617220"/>
            <a:gd name="connsiteY6" fmla="*/ 419100 h 629334"/>
            <a:gd name="connsiteX7" fmla="*/ 609600 w 617220"/>
            <a:gd name="connsiteY7" fmla="*/ 160020 h 629334"/>
            <a:gd name="connsiteX8" fmla="*/ 441960 w 617220"/>
            <a:gd name="connsiteY8" fmla="*/ 0 h 629334"/>
            <a:gd name="connsiteX0" fmla="*/ 413031 w 617220"/>
            <a:gd name="connsiteY0" fmla="*/ 0 h 638517"/>
            <a:gd name="connsiteX1" fmla="*/ 175260 w 617220"/>
            <a:gd name="connsiteY1" fmla="*/ 9183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2195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413031 w 617220"/>
            <a:gd name="connsiteY0" fmla="*/ 0 h 638517"/>
            <a:gd name="connsiteX1" fmla="*/ 195923 w 617220"/>
            <a:gd name="connsiteY1" fmla="*/ 4592 h 638517"/>
            <a:gd name="connsiteX2" fmla="*/ 0 w 617220"/>
            <a:gd name="connsiteY2" fmla="*/ 230163 h 638517"/>
            <a:gd name="connsiteX3" fmla="*/ 18727 w 617220"/>
            <a:gd name="connsiteY3" fmla="*/ 472245 h 638517"/>
            <a:gd name="connsiteX4" fmla="*/ 208840 w 617220"/>
            <a:gd name="connsiteY4" fmla="*/ 638517 h 638517"/>
            <a:gd name="connsiteX5" fmla="*/ 464820 w 617220"/>
            <a:gd name="connsiteY5" fmla="*/ 632460 h 638517"/>
            <a:gd name="connsiteX6" fmla="*/ 617220 w 617220"/>
            <a:gd name="connsiteY6" fmla="*/ 428283 h 638517"/>
            <a:gd name="connsiteX7" fmla="*/ 609600 w 617220"/>
            <a:gd name="connsiteY7" fmla="*/ 169203 h 638517"/>
            <a:gd name="connsiteX8" fmla="*/ 413031 w 617220"/>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2196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96500 w 600689"/>
            <a:gd name="connsiteY0" fmla="*/ 0 h 638517"/>
            <a:gd name="connsiteX1" fmla="*/ 179392 w 600689"/>
            <a:gd name="connsiteY1" fmla="*/ 4592 h 638517"/>
            <a:gd name="connsiteX2" fmla="*/ 0 w 600689"/>
            <a:gd name="connsiteY2" fmla="*/ 220979 h 638517"/>
            <a:gd name="connsiteX3" fmla="*/ 18727 w 600689"/>
            <a:gd name="connsiteY3" fmla="*/ 472245 h 638517"/>
            <a:gd name="connsiteX4" fmla="*/ 192309 w 600689"/>
            <a:gd name="connsiteY4" fmla="*/ 638517 h 638517"/>
            <a:gd name="connsiteX5" fmla="*/ 448289 w 600689"/>
            <a:gd name="connsiteY5" fmla="*/ 632460 h 638517"/>
            <a:gd name="connsiteX6" fmla="*/ 600689 w 600689"/>
            <a:gd name="connsiteY6" fmla="*/ 428283 h 638517"/>
            <a:gd name="connsiteX7" fmla="*/ 593069 w 600689"/>
            <a:gd name="connsiteY7" fmla="*/ 169203 h 638517"/>
            <a:gd name="connsiteX8" fmla="*/ 396500 w 600689"/>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6 w 582066"/>
            <a:gd name="connsiteY7" fmla="*/ 169203 h 638517"/>
            <a:gd name="connsiteX8" fmla="*/ 377877 w 582066"/>
            <a:gd name="connsiteY8" fmla="*/ 0 h 638517"/>
            <a:gd name="connsiteX0" fmla="*/ 377877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77877 w 582066"/>
            <a:gd name="connsiteY8" fmla="*/ 0 h 638517"/>
            <a:gd name="connsiteX0" fmla="*/ 394408 w 582066"/>
            <a:gd name="connsiteY0" fmla="*/ 0 h 638517"/>
            <a:gd name="connsiteX1" fmla="*/ 160769 w 582066"/>
            <a:gd name="connsiteY1" fmla="*/ 4592 h 638517"/>
            <a:gd name="connsiteX2" fmla="*/ 2041 w 582066"/>
            <a:gd name="connsiteY2" fmla="*/ 220979 h 638517"/>
            <a:gd name="connsiteX3" fmla="*/ 104 w 582066"/>
            <a:gd name="connsiteY3" fmla="*/ 472245 h 638517"/>
            <a:gd name="connsiteX4" fmla="*/ 173686 w 582066"/>
            <a:gd name="connsiteY4" fmla="*/ 638517 h 638517"/>
            <a:gd name="connsiteX5" fmla="*/ 429666 w 582066"/>
            <a:gd name="connsiteY5" fmla="*/ 632460 h 638517"/>
            <a:gd name="connsiteX6" fmla="*/ 582066 w 582066"/>
            <a:gd name="connsiteY6" fmla="*/ 428283 h 638517"/>
            <a:gd name="connsiteX7" fmla="*/ 574447 w 582066"/>
            <a:gd name="connsiteY7" fmla="*/ 196753 h 638517"/>
            <a:gd name="connsiteX8" fmla="*/ 394408 w 582066"/>
            <a:gd name="connsiteY8" fmla="*/ 0 h 638517"/>
            <a:gd name="connsiteX0" fmla="*/ 394408 w 582712"/>
            <a:gd name="connsiteY0" fmla="*/ 0 h 638517"/>
            <a:gd name="connsiteX1" fmla="*/ 160769 w 582712"/>
            <a:gd name="connsiteY1" fmla="*/ 4592 h 638517"/>
            <a:gd name="connsiteX2" fmla="*/ 2041 w 582712"/>
            <a:gd name="connsiteY2" fmla="*/ 220979 h 638517"/>
            <a:gd name="connsiteX3" fmla="*/ 104 w 582712"/>
            <a:gd name="connsiteY3" fmla="*/ 472245 h 638517"/>
            <a:gd name="connsiteX4" fmla="*/ 173686 w 582712"/>
            <a:gd name="connsiteY4" fmla="*/ 638517 h 638517"/>
            <a:gd name="connsiteX5" fmla="*/ 429666 w 582712"/>
            <a:gd name="connsiteY5" fmla="*/ 632460 h 638517"/>
            <a:gd name="connsiteX6" fmla="*/ 582066 w 582712"/>
            <a:gd name="connsiteY6" fmla="*/ 428283 h 638517"/>
            <a:gd name="connsiteX7" fmla="*/ 582712 w 582712"/>
            <a:gd name="connsiteY7" fmla="*/ 196753 h 638517"/>
            <a:gd name="connsiteX8" fmla="*/ 394408 w 582712"/>
            <a:gd name="connsiteY8" fmla="*/ 0 h 638517"/>
            <a:gd name="connsiteX0" fmla="*/ 419205 w 582712"/>
            <a:gd name="connsiteY0" fmla="*/ 0 h 633925"/>
            <a:gd name="connsiteX1" fmla="*/ 160769 w 582712"/>
            <a:gd name="connsiteY1" fmla="*/ 0 h 633925"/>
            <a:gd name="connsiteX2" fmla="*/ 2041 w 582712"/>
            <a:gd name="connsiteY2" fmla="*/ 216387 h 633925"/>
            <a:gd name="connsiteX3" fmla="*/ 104 w 582712"/>
            <a:gd name="connsiteY3" fmla="*/ 467653 h 633925"/>
            <a:gd name="connsiteX4" fmla="*/ 173686 w 582712"/>
            <a:gd name="connsiteY4" fmla="*/ 633925 h 633925"/>
            <a:gd name="connsiteX5" fmla="*/ 429666 w 582712"/>
            <a:gd name="connsiteY5" fmla="*/ 627868 h 633925"/>
            <a:gd name="connsiteX6" fmla="*/ 582066 w 582712"/>
            <a:gd name="connsiteY6" fmla="*/ 423691 h 633925"/>
            <a:gd name="connsiteX7" fmla="*/ 582712 w 582712"/>
            <a:gd name="connsiteY7" fmla="*/ 192161 h 633925"/>
            <a:gd name="connsiteX8" fmla="*/ 419205 w 582712"/>
            <a:gd name="connsiteY8" fmla="*/ 0 h 633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82712" h="633925">
              <a:moveTo>
                <a:pt x="419205" y="0"/>
              </a:moveTo>
              <a:lnTo>
                <a:pt x="160769" y="0"/>
              </a:lnTo>
              <a:lnTo>
                <a:pt x="2041" y="216387"/>
              </a:lnTo>
              <a:cubicBezTo>
                <a:pt x="2773" y="297081"/>
                <a:pt x="-628" y="386959"/>
                <a:pt x="104" y="467653"/>
              </a:cubicBezTo>
              <a:lnTo>
                <a:pt x="173686" y="633925"/>
              </a:lnTo>
              <a:lnTo>
                <a:pt x="429666" y="627868"/>
              </a:lnTo>
              <a:lnTo>
                <a:pt x="582066" y="423691"/>
              </a:lnTo>
              <a:cubicBezTo>
                <a:pt x="582281" y="346514"/>
                <a:pt x="582497" y="269338"/>
                <a:pt x="582712" y="192161"/>
              </a:cubicBezTo>
              <a:lnTo>
                <a:pt x="419205" y="0"/>
              </a:lnTo>
              <a:close/>
            </a:path>
          </a:pathLst>
        </a:custGeom>
        <a:solidFill>
          <a:srgbClr val="FF0000"/>
        </a:solidFill>
        <a:ln w="9525" cap="flat" cmpd="dbl" algn="ctr">
          <a:solidFill>
            <a:schemeClr val="bg1"/>
          </a:solidFill>
          <a:prstDash val="solid"/>
          <a:round/>
          <a:headEnd type="none" w="med" len="med"/>
          <a:tailEnd type="none" w="med" len="med"/>
        </a:ln>
        <a:effectLst/>
      </xdr:spPr>
      <xdr:txBody>
        <a:bodyPr vertOverflow="clip" horzOverflow="clip" wrap="square" lIns="18288" tIns="0" rIns="0" bIns="0" rtlCol="0" anchor="ctr" upright="1">
          <a:noAutofit/>
        </a:bodyPr>
        <a:lstStyle/>
        <a:p>
          <a:pPr algn="ctr"/>
          <a:r>
            <a:rPr lang="en-US" sz="800" b="1">
              <a:solidFill>
                <a:schemeClr val="bg1"/>
              </a:solidFill>
              <a:latin typeface="Arial Narrow" pitchFamily="34" charset="0"/>
            </a:rPr>
            <a:t>STOP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image" Target="../media/image10.emf"/><Relationship Id="rId18" Type="http://schemas.openxmlformats.org/officeDocument/2006/relationships/comments" Target="../comments17.xml"/><Relationship Id="rId3" Type="http://schemas.openxmlformats.org/officeDocument/2006/relationships/vmlDrawing" Target="../drawings/vmlDrawing18.vml"/><Relationship Id="rId7" Type="http://schemas.openxmlformats.org/officeDocument/2006/relationships/image" Target="../media/image7.emf"/><Relationship Id="rId12" Type="http://schemas.openxmlformats.org/officeDocument/2006/relationships/control" Target="../activeX/activeX6.xml"/><Relationship Id="rId17" Type="http://schemas.openxmlformats.org/officeDocument/2006/relationships/image" Target="../media/image12.emf"/><Relationship Id="rId2" Type="http://schemas.openxmlformats.org/officeDocument/2006/relationships/drawing" Target="../drawings/drawing20.xml"/><Relationship Id="rId16" Type="http://schemas.openxmlformats.org/officeDocument/2006/relationships/control" Target="../activeX/activeX8.xml"/><Relationship Id="rId1" Type="http://schemas.openxmlformats.org/officeDocument/2006/relationships/printerSettings" Target="../printerSettings/printerSettings19.bin"/><Relationship Id="rId6" Type="http://schemas.openxmlformats.org/officeDocument/2006/relationships/control" Target="../activeX/activeX3.xml"/><Relationship Id="rId11" Type="http://schemas.openxmlformats.org/officeDocument/2006/relationships/image" Target="../media/image9.emf"/><Relationship Id="rId5" Type="http://schemas.openxmlformats.org/officeDocument/2006/relationships/image" Target="../media/image6.emf"/><Relationship Id="rId15" Type="http://schemas.openxmlformats.org/officeDocument/2006/relationships/image" Target="../media/image11.emf"/><Relationship Id="rId10" Type="http://schemas.openxmlformats.org/officeDocument/2006/relationships/control" Target="../activeX/activeX5.xml"/><Relationship Id="rId4" Type="http://schemas.openxmlformats.org/officeDocument/2006/relationships/control" Target="../activeX/activeX2.xml"/><Relationship Id="rId9" Type="http://schemas.openxmlformats.org/officeDocument/2006/relationships/image" Target="../media/image8.emf"/><Relationship Id="rId14" Type="http://schemas.openxmlformats.org/officeDocument/2006/relationships/control" Target="../activeX/activeX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11.xml"/><Relationship Id="rId13" Type="http://schemas.openxmlformats.org/officeDocument/2006/relationships/image" Target="../media/image17.emf"/><Relationship Id="rId18" Type="http://schemas.openxmlformats.org/officeDocument/2006/relationships/comments" Target="../comments18.xml"/><Relationship Id="rId3" Type="http://schemas.openxmlformats.org/officeDocument/2006/relationships/vmlDrawing" Target="../drawings/vmlDrawing19.vml"/><Relationship Id="rId7" Type="http://schemas.openxmlformats.org/officeDocument/2006/relationships/image" Target="../media/image14.emf"/><Relationship Id="rId12" Type="http://schemas.openxmlformats.org/officeDocument/2006/relationships/control" Target="../activeX/activeX13.xml"/><Relationship Id="rId17" Type="http://schemas.openxmlformats.org/officeDocument/2006/relationships/image" Target="../media/image19.emf"/><Relationship Id="rId2" Type="http://schemas.openxmlformats.org/officeDocument/2006/relationships/drawing" Target="../drawings/drawing21.xml"/><Relationship Id="rId16" Type="http://schemas.openxmlformats.org/officeDocument/2006/relationships/control" Target="../activeX/activeX15.xml"/><Relationship Id="rId1" Type="http://schemas.openxmlformats.org/officeDocument/2006/relationships/printerSettings" Target="../printerSettings/printerSettings20.bin"/><Relationship Id="rId6" Type="http://schemas.openxmlformats.org/officeDocument/2006/relationships/control" Target="../activeX/activeX10.xml"/><Relationship Id="rId11" Type="http://schemas.openxmlformats.org/officeDocument/2006/relationships/image" Target="../media/image16.emf"/><Relationship Id="rId5" Type="http://schemas.openxmlformats.org/officeDocument/2006/relationships/image" Target="../media/image13.emf"/><Relationship Id="rId15" Type="http://schemas.openxmlformats.org/officeDocument/2006/relationships/image" Target="../media/image18.emf"/><Relationship Id="rId10" Type="http://schemas.openxmlformats.org/officeDocument/2006/relationships/control" Target="../activeX/activeX12.xml"/><Relationship Id="rId4" Type="http://schemas.openxmlformats.org/officeDocument/2006/relationships/control" Target="../activeX/activeX9.xml"/><Relationship Id="rId9" Type="http://schemas.openxmlformats.org/officeDocument/2006/relationships/image" Target="../media/image15.emf"/><Relationship Id="rId14" Type="http://schemas.openxmlformats.org/officeDocument/2006/relationships/control" Target="../activeX/activeX1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W66"/>
  <sheetViews>
    <sheetView showGridLines="0" tabSelected="1" zoomScale="110" zoomScaleNormal="110" workbookViewId="0">
      <selection activeCell="B29" sqref="B29"/>
    </sheetView>
  </sheetViews>
  <sheetFormatPr defaultColWidth="9.140625" defaultRowHeight="12.75" x14ac:dyDescent="0.2"/>
  <cols>
    <col min="1" max="1" width="4.140625" style="41" customWidth="1"/>
    <col min="2" max="2" width="8.42578125" style="41" customWidth="1"/>
    <col min="3" max="3" width="11.7109375" style="43" customWidth="1"/>
    <col min="4" max="4" width="7" style="41" customWidth="1"/>
    <col min="5" max="5" width="10.140625" style="41" customWidth="1"/>
    <col min="6" max="12" width="9.7109375" style="41" customWidth="1"/>
    <col min="13" max="13" width="6.85546875" style="41" customWidth="1"/>
    <col min="14" max="14" width="3.28515625" style="41" hidden="1" customWidth="1"/>
    <col min="15" max="20" width="13.7109375" style="41" hidden="1" customWidth="1"/>
    <col min="21" max="21" width="3.7109375" style="41" hidden="1" customWidth="1"/>
    <col min="22" max="22" width="28.7109375" style="41" hidden="1" customWidth="1"/>
    <col min="23" max="23" width="11.85546875" style="41" hidden="1" customWidth="1"/>
    <col min="24" max="24" width="9.140625" style="41" customWidth="1"/>
    <col min="25" max="16384" width="9.140625" style="41"/>
  </cols>
  <sheetData>
    <row r="1" spans="1:23" ht="12.6" customHeight="1" x14ac:dyDescent="0.2">
      <c r="A1" s="629"/>
      <c r="C1" s="728" t="str">
        <f ca="1">status_msg</f>
        <v/>
      </c>
      <c r="D1" s="729"/>
      <c r="E1" s="729"/>
      <c r="F1" s="729"/>
      <c r="G1" s="729"/>
      <c r="H1" s="729"/>
      <c r="I1" s="729"/>
      <c r="J1" s="729"/>
      <c r="K1" s="729"/>
      <c r="L1" s="730"/>
      <c r="N1" s="358"/>
      <c r="O1" s="357"/>
      <c r="P1" s="357"/>
      <c r="Q1" s="590" t="s">
        <v>226</v>
      </c>
      <c r="R1" s="357"/>
      <c r="S1" s="357"/>
      <c r="T1" s="557" t="s">
        <v>117</v>
      </c>
      <c r="U1" s="357"/>
      <c r="V1" s="357"/>
      <c r="W1" s="357"/>
    </row>
    <row r="2" spans="1:23" ht="12" customHeight="1" thickBot="1" x14ac:dyDescent="0.25">
      <c r="D2" s="44" t="s">
        <v>96</v>
      </c>
      <c r="E2" s="679" t="str">
        <f>release_nbr</f>
        <v>R1</v>
      </c>
      <c r="F2" s="143" t="str">
        <f>IF(OR(E2&lt;&gt;P7,E3&lt;&gt;Q7),"ERROR, do not change these fields, Make changes to Col P","")</f>
        <v/>
      </c>
      <c r="L2" s="56"/>
      <c r="N2" s="358"/>
      <c r="O2" s="357"/>
      <c r="P2" s="357"/>
      <c r="Q2" s="591" t="s">
        <v>224</v>
      </c>
      <c r="R2" s="357"/>
      <c r="S2" s="357"/>
      <c r="T2" s="357"/>
      <c r="U2" s="357"/>
      <c r="V2" s="357"/>
      <c r="W2" s="357"/>
    </row>
    <row r="3" spans="1:23" ht="12.6" customHeight="1" x14ac:dyDescent="0.2">
      <c r="D3" s="44" t="s">
        <v>101</v>
      </c>
      <c r="E3" s="680">
        <f>release_date</f>
        <v>43911</v>
      </c>
      <c r="G3" s="44" t="s">
        <v>100</v>
      </c>
      <c r="H3" s="79" t="str">
        <f>IF(expire_date="","---",expire_date)</f>
        <v>---</v>
      </c>
      <c r="I3" s="55" t="str">
        <f>IF(S7="","No Expiration Date",IF(exp_warn=TRUE,"","A warning message will appear "&amp;P14&amp;" days in advance"))</f>
        <v>No Expiration Date</v>
      </c>
      <c r="K3" s="56"/>
      <c r="L3" s="56"/>
      <c r="N3" s="358"/>
      <c r="O3" s="357"/>
      <c r="P3" s="357"/>
      <c r="Q3" s="591" t="s">
        <v>254</v>
      </c>
      <c r="R3" s="357"/>
      <c r="S3" s="357"/>
      <c r="T3" s="357"/>
      <c r="U3" s="357"/>
      <c r="V3" s="357"/>
      <c r="W3" s="357"/>
    </row>
    <row r="4" spans="1:23" ht="12.6" customHeight="1" thickBot="1" x14ac:dyDescent="0.25">
      <c r="K4" s="57"/>
      <c r="L4" s="57"/>
      <c r="N4" s="553" t="s">
        <v>166</v>
      </c>
      <c r="O4" s="357"/>
      <c r="P4" s="357"/>
      <c r="Q4" s="591"/>
      <c r="R4" s="591" t="s">
        <v>225</v>
      </c>
      <c r="S4" s="357"/>
      <c r="T4" s="357"/>
      <c r="U4" s="357"/>
      <c r="V4" s="357"/>
      <c r="W4" s="357"/>
    </row>
    <row r="5" spans="1:23" ht="12.6" customHeight="1" thickBot="1" x14ac:dyDescent="0.25">
      <c r="D5" s="721" t="s">
        <v>80</v>
      </c>
      <c r="E5" s="723" t="s">
        <v>93</v>
      </c>
      <c r="F5" s="723"/>
      <c r="G5" s="723"/>
      <c r="H5" s="723"/>
      <c r="I5" s="723"/>
      <c r="J5" s="723"/>
      <c r="K5" s="723"/>
      <c r="L5" s="724"/>
      <c r="N5" s="553"/>
      <c r="O5" s="357"/>
      <c r="P5" s="357"/>
      <c r="Q5" s="357"/>
      <c r="R5" s="357"/>
      <c r="S5" s="357"/>
      <c r="T5" s="357"/>
      <c r="U5" s="357"/>
      <c r="V5" s="357"/>
      <c r="W5" s="357"/>
    </row>
    <row r="6" spans="1:23" ht="12.6" customHeight="1" thickTop="1" thickBot="1" x14ac:dyDescent="0.25">
      <c r="D6" s="722"/>
      <c r="E6" s="725"/>
      <c r="F6" s="725"/>
      <c r="G6" s="725"/>
      <c r="H6" s="725"/>
      <c r="I6" s="725"/>
      <c r="J6" s="725"/>
      <c r="K6" s="725"/>
      <c r="L6" s="726"/>
      <c r="N6" s="358"/>
      <c r="O6" s="558" t="s">
        <v>203</v>
      </c>
      <c r="P6" s="567" t="s">
        <v>195</v>
      </c>
      <c r="Q6" s="567" t="s">
        <v>196</v>
      </c>
      <c r="R6" s="567" t="s">
        <v>247</v>
      </c>
      <c r="S6" s="570" t="s">
        <v>248</v>
      </c>
      <c r="T6" s="559"/>
      <c r="U6" s="357"/>
      <c r="V6" s="357"/>
      <c r="W6" s="357"/>
    </row>
    <row r="7" spans="1:23" ht="13.15" customHeight="1" thickTop="1" thickBot="1" x14ac:dyDescent="0.25">
      <c r="B7" s="727" t="s">
        <v>257</v>
      </c>
      <c r="C7" s="727"/>
      <c r="D7" s="727"/>
      <c r="E7" s="727"/>
      <c r="F7" s="727"/>
      <c r="G7" s="727"/>
      <c r="H7" s="727"/>
      <c r="I7" s="727"/>
      <c r="J7" s="727"/>
      <c r="K7" s="727"/>
      <c r="L7" s="727"/>
      <c r="N7" s="358"/>
      <c r="O7" s="560" t="s">
        <v>204</v>
      </c>
      <c r="P7" s="579" t="s">
        <v>265</v>
      </c>
      <c r="Q7" s="580">
        <v>43911</v>
      </c>
      <c r="R7" s="653">
        <f ca="1">TODAY()-release_date</f>
        <v>0</v>
      </c>
      <c r="S7" s="580"/>
      <c r="T7" s="561"/>
      <c r="U7" s="357"/>
      <c r="V7" s="592" t="s">
        <v>227</v>
      </c>
      <c r="W7" s="357"/>
    </row>
    <row r="8" spans="1:23" ht="13.5" customHeight="1" thickTop="1" thickBot="1" x14ac:dyDescent="0.25">
      <c r="N8" s="554"/>
      <c r="O8" s="644" t="s">
        <v>205</v>
      </c>
      <c r="P8" s="563" t="s">
        <v>114</v>
      </c>
      <c r="Q8" s="563" t="s">
        <v>115</v>
      </c>
      <c r="R8" s="357"/>
      <c r="S8" s="563" t="s">
        <v>250</v>
      </c>
      <c r="T8" s="636" t="str">
        <f>IF(S7="","",IF(S7-Q7&lt;0,"  EXPIRED",S7-Q7&amp;" Days til Expiration"))</f>
        <v/>
      </c>
      <c r="U8" s="357"/>
      <c r="V8" s="593" t="s">
        <v>245</v>
      </c>
      <c r="W8" s="357"/>
    </row>
    <row r="9" spans="1:23" ht="13.5" customHeight="1" thickTop="1" thickBot="1" x14ac:dyDescent="0.35">
      <c r="B9" s="91" t="s">
        <v>122</v>
      </c>
      <c r="E9" s="45" t="s">
        <v>106</v>
      </c>
      <c r="F9" s="91" t="s">
        <v>125</v>
      </c>
      <c r="H9" s="47" t="s">
        <v>81</v>
      </c>
      <c r="I9" s="46" t="s">
        <v>128</v>
      </c>
      <c r="L9" s="81"/>
      <c r="N9" s="358"/>
      <c r="O9" s="558" t="s">
        <v>200</v>
      </c>
      <c r="P9" s="567" t="s">
        <v>211</v>
      </c>
      <c r="Q9" s="559"/>
      <c r="R9" s="567" t="s">
        <v>198</v>
      </c>
      <c r="S9" s="645"/>
      <c r="T9" s="645"/>
      <c r="U9" s="357"/>
      <c r="V9" s="593" t="s">
        <v>246</v>
      </c>
      <c r="W9" s="357"/>
    </row>
    <row r="10" spans="1:23" ht="13.5" customHeight="1" thickTop="1" thickBot="1" x14ac:dyDescent="0.25">
      <c r="G10" s="81"/>
      <c r="H10" s="80" t="s">
        <v>82</v>
      </c>
      <c r="I10" s="46" t="s">
        <v>116</v>
      </c>
      <c r="L10"/>
      <c r="N10" s="358"/>
      <c r="O10" s="565" t="s">
        <v>212</v>
      </c>
      <c r="P10" s="556" t="s">
        <v>199</v>
      </c>
      <c r="Q10" s="561"/>
      <c r="R10" s="556" t="s">
        <v>210</v>
      </c>
      <c r="S10" s="552"/>
      <c r="T10" s="552"/>
      <c r="U10" s="357"/>
      <c r="V10" s="593" t="s">
        <v>228</v>
      </c>
      <c r="W10" s="357"/>
    </row>
    <row r="11" spans="1:23" ht="13.5" customHeight="1" thickTop="1" thickBot="1" x14ac:dyDescent="0.25">
      <c r="G11" s="42"/>
      <c r="H11" s="48" t="s">
        <v>83</v>
      </c>
      <c r="I11" s="46" t="s">
        <v>123</v>
      </c>
      <c r="L11"/>
      <c r="N11" s="358"/>
      <c r="O11" s="646" t="s">
        <v>197</v>
      </c>
      <c r="P11" s="647">
        <v>180</v>
      </c>
      <c r="Q11" s="564"/>
      <c r="R11" s="654" t="b">
        <f ca="1">IF(R7&gt;P11,TRUE,FALSE)</f>
        <v>0</v>
      </c>
      <c r="S11" s="655" t="s">
        <v>251</v>
      </c>
      <c r="T11" s="648"/>
      <c r="U11" s="357"/>
      <c r="V11" s="593" t="s">
        <v>229</v>
      </c>
      <c r="W11" s="357"/>
    </row>
    <row r="12" spans="1:23" ht="13.5" customHeight="1" thickTop="1" x14ac:dyDescent="0.2">
      <c r="I12" s="90" t="s">
        <v>124</v>
      </c>
      <c r="J12"/>
      <c r="K12"/>
      <c r="L12"/>
      <c r="N12" s="555"/>
      <c r="O12" s="565" t="s">
        <v>201</v>
      </c>
      <c r="P12" s="572" t="s">
        <v>207</v>
      </c>
      <c r="Q12" s="573" t="s">
        <v>208</v>
      </c>
      <c r="R12" s="566"/>
      <c r="S12" s="556" t="s">
        <v>218</v>
      </c>
      <c r="T12" s="556" t="s">
        <v>217</v>
      </c>
      <c r="U12" s="357"/>
      <c r="V12" s="593" t="s">
        <v>230</v>
      </c>
      <c r="W12" s="357"/>
    </row>
    <row r="13" spans="1:23" ht="13.5" customHeight="1" x14ac:dyDescent="0.2">
      <c r="N13" s="358"/>
      <c r="O13" s="565" t="s">
        <v>202</v>
      </c>
      <c r="P13" s="572" t="s">
        <v>206</v>
      </c>
      <c r="Q13" s="574" t="s">
        <v>209</v>
      </c>
      <c r="R13" s="566"/>
      <c r="S13" s="556" t="s">
        <v>210</v>
      </c>
      <c r="T13" s="556" t="s">
        <v>210</v>
      </c>
      <c r="U13" s="357"/>
      <c r="V13" s="593" t="s">
        <v>231</v>
      </c>
      <c r="W13" s="357"/>
    </row>
    <row r="14" spans="1:23" ht="13.5" customHeight="1" x14ac:dyDescent="0.2">
      <c r="N14" s="358"/>
      <c r="O14" s="571" t="s">
        <v>197</v>
      </c>
      <c r="P14" s="581">
        <v>30</v>
      </c>
      <c r="Q14" s="656" t="b">
        <f ca="1">IF(S7="",FALSE,S7-TODAY())</f>
        <v>0</v>
      </c>
      <c r="R14" s="566"/>
      <c r="S14" s="656" t="b">
        <f>IF(S7="",FALSE,IF(Q14&lt;=P14,TRUE,FALSE))</f>
        <v>0</v>
      </c>
      <c r="T14" s="656" t="b">
        <f ca="1">IF(S7="",FALSE,IF(S7&lt;=TODAY(),TRUE,FALSE))</f>
        <v>0</v>
      </c>
      <c r="U14" s="357"/>
      <c r="V14" s="593" t="s">
        <v>232</v>
      </c>
      <c r="W14" s="357"/>
    </row>
    <row r="15" spans="1:23" ht="13.5" customHeight="1" thickBot="1" x14ac:dyDescent="0.25">
      <c r="N15" s="358"/>
      <c r="O15" s="562"/>
      <c r="P15" s="568"/>
      <c r="Q15" s="575"/>
      <c r="R15" s="564"/>
      <c r="S15" s="563" t="s">
        <v>105</v>
      </c>
      <c r="T15" s="563" t="s">
        <v>102</v>
      </c>
      <c r="U15" s="357"/>
      <c r="V15" s="593"/>
      <c r="W15" s="357"/>
    </row>
    <row r="16" spans="1:23" ht="13.5" customHeight="1" thickTop="1" x14ac:dyDescent="0.2">
      <c r="C16" s="41"/>
      <c r="N16" s="358"/>
      <c r="O16" s="640" t="s">
        <v>201</v>
      </c>
      <c r="P16" s="638" t="s">
        <v>214</v>
      </c>
      <c r="Q16" s="742" t="s">
        <v>264</v>
      </c>
      <c r="R16" s="742"/>
      <c r="S16" s="742"/>
      <c r="T16" s="743"/>
      <c r="U16" s="357"/>
      <c r="V16" s="593"/>
      <c r="W16" s="357"/>
    </row>
    <row r="17" spans="2:23" ht="13.5" customHeight="1" x14ac:dyDescent="0.2">
      <c r="N17" s="358"/>
      <c r="O17" s="641" t="s">
        <v>202</v>
      </c>
      <c r="P17" s="569" t="s">
        <v>213</v>
      </c>
      <c r="Q17" s="744" t="str">
        <f ca="1">"W&amp;B sheet is set to expire in "&amp;Q14&amp;" days"</f>
        <v>W&amp;B sheet is set to expire in FALSE days</v>
      </c>
      <c r="R17" s="744"/>
      <c r="S17" s="744"/>
      <c r="T17" s="745"/>
      <c r="U17" s="357"/>
      <c r="V17" s="593"/>
      <c r="W17" s="357"/>
    </row>
    <row r="18" spans="2:23" ht="13.5" customHeight="1" x14ac:dyDescent="0.2">
      <c r="N18" s="358"/>
      <c r="O18" s="641" t="s">
        <v>132</v>
      </c>
      <c r="P18" s="569" t="s">
        <v>215</v>
      </c>
      <c r="Q18" s="746" t="str">
        <f>"W&amp;B is over "&amp;P11&amp;" days old, Check the GAWG web site periodically for newer versions"</f>
        <v>W&amp;B is over 180 days old, Check the GAWG web site periodically for newer versions</v>
      </c>
      <c r="R18" s="746"/>
      <c r="S18" s="746"/>
      <c r="T18" s="747"/>
      <c r="U18" s="357"/>
      <c r="V18" s="593"/>
      <c r="W18" s="357"/>
    </row>
    <row r="19" spans="2:23" ht="13.5" customHeight="1" x14ac:dyDescent="0.2">
      <c r="N19" s="554"/>
      <c r="O19" s="643" t="s">
        <v>103</v>
      </c>
      <c r="P19" s="569"/>
      <c r="Q19" s="752" t="str">
        <f>IF(R20="","( No Message )","")</f>
        <v>( No Message )</v>
      </c>
      <c r="R19" s="752"/>
      <c r="S19" s="752"/>
      <c r="T19" s="752"/>
      <c r="U19" s="357"/>
      <c r="V19" s="593"/>
      <c r="W19" s="357"/>
    </row>
    <row r="20" spans="2:23" ht="13.5" customHeight="1" thickBot="1" x14ac:dyDescent="0.25">
      <c r="N20" s="358"/>
      <c r="O20" s="642"/>
      <c r="P20" s="639" t="s">
        <v>216</v>
      </c>
      <c r="Q20" s="739" t="str">
        <f ca="1">IF(expired=TRUE,Q16,IF(exp_warn=TRUE,Q17,IF(old_ver=TRUE,Q18,"")))</f>
        <v/>
      </c>
      <c r="R20" s="740"/>
      <c r="S20" s="740"/>
      <c r="T20" s="741"/>
      <c r="U20" s="357"/>
      <c r="V20" s="593"/>
      <c r="W20" s="551"/>
    </row>
    <row r="21" spans="2:23" ht="13.5" customHeight="1" thickTop="1" x14ac:dyDescent="0.2">
      <c r="C21" s="41"/>
      <c r="N21" s="358"/>
      <c r="O21" s="649" t="s">
        <v>249</v>
      </c>
      <c r="P21" s="645"/>
      <c r="Q21" s="645"/>
      <c r="R21" s="645"/>
      <c r="S21" s="645"/>
      <c r="T21" s="645"/>
      <c r="U21" s="357"/>
      <c r="V21" s="593"/>
      <c r="W21" s="551"/>
    </row>
    <row r="22" spans="2:23" ht="13.5" customHeight="1" x14ac:dyDescent="0.2">
      <c r="C22" s="41"/>
      <c r="N22" s="358"/>
      <c r="O22" s="748" t="s">
        <v>244</v>
      </c>
      <c r="P22" s="750" t="s">
        <v>253</v>
      </c>
      <c r="Q22" s="750"/>
      <c r="R22" s="750"/>
      <c r="S22" s="750"/>
      <c r="T22" s="750"/>
      <c r="U22" s="552"/>
      <c r="V22" s="593"/>
      <c r="W22" s="551"/>
    </row>
    <row r="23" spans="2:23" ht="13.5" customHeight="1" x14ac:dyDescent="0.25">
      <c r="B23" s="49" t="s">
        <v>60</v>
      </c>
      <c r="E23" s="50" t="s">
        <v>266</v>
      </c>
      <c r="F23" s="51" t="str">
        <f>P7</f>
        <v>R1</v>
      </c>
      <c r="N23" s="358"/>
      <c r="O23" s="748"/>
      <c r="P23" s="750"/>
      <c r="Q23" s="750"/>
      <c r="R23" s="750"/>
      <c r="S23" s="750"/>
      <c r="T23" s="750"/>
      <c r="U23" s="552"/>
      <c r="V23" s="593"/>
      <c r="W23" s="551"/>
    </row>
    <row r="24" spans="2:23" ht="13.5" customHeight="1" thickBot="1" x14ac:dyDescent="0.25">
      <c r="B24" s="731" t="s">
        <v>58</v>
      </c>
      <c r="C24" s="733" t="s">
        <v>59</v>
      </c>
      <c r="D24" s="735" t="s">
        <v>104</v>
      </c>
      <c r="E24" s="736"/>
      <c r="F24" s="736"/>
      <c r="G24" s="736"/>
      <c r="H24" s="736"/>
      <c r="I24" s="736"/>
      <c r="J24" s="736"/>
      <c r="K24" s="736"/>
      <c r="L24" s="736"/>
      <c r="N24" s="358"/>
      <c r="O24" s="749"/>
      <c r="P24" s="751"/>
      <c r="Q24" s="751"/>
      <c r="R24" s="751"/>
      <c r="S24" s="751"/>
      <c r="T24" s="751"/>
      <c r="U24" s="357"/>
      <c r="V24" s="593"/>
      <c r="W24" s="357"/>
    </row>
    <row r="25" spans="2:23" ht="13.5" customHeight="1" thickTop="1" x14ac:dyDescent="0.2">
      <c r="B25" s="732"/>
      <c r="C25" s="734"/>
      <c r="D25" s="737"/>
      <c r="E25" s="738"/>
      <c r="F25" s="738"/>
      <c r="G25" s="738"/>
      <c r="H25" s="738"/>
      <c r="I25" s="738"/>
      <c r="J25" s="738"/>
      <c r="K25" s="738"/>
      <c r="L25" s="738"/>
      <c r="N25" s="658" t="s">
        <v>268</v>
      </c>
      <c r="O25" s="657" t="s">
        <v>252</v>
      </c>
      <c r="P25" s="357"/>
      <c r="Q25" s="357"/>
      <c r="R25" s="357"/>
      <c r="S25" s="357"/>
      <c r="T25" s="357"/>
      <c r="U25" s="357"/>
      <c r="V25" s="566"/>
      <c r="W25" s="357"/>
    </row>
    <row r="26" spans="2:23" ht="13.5" customHeight="1" x14ac:dyDescent="0.2">
      <c r="B26" s="53" t="s">
        <v>265</v>
      </c>
      <c r="C26" s="54">
        <v>43911</v>
      </c>
      <c r="D26" s="718" t="s">
        <v>308</v>
      </c>
      <c r="E26" s="719"/>
      <c r="F26" s="719"/>
      <c r="G26" s="719"/>
      <c r="H26" s="719"/>
      <c r="I26" s="719"/>
      <c r="J26" s="719"/>
      <c r="K26" s="719"/>
      <c r="L26" s="720"/>
      <c r="N26" s="552"/>
      <c r="O26" s="657"/>
      <c r="P26" s="357"/>
      <c r="Q26" s="357"/>
      <c r="R26" s="357"/>
      <c r="S26" s="357"/>
      <c r="T26" s="357"/>
      <c r="U26" s="357"/>
      <c r="V26" s="566"/>
      <c r="W26" s="357"/>
    </row>
    <row r="27" spans="2:23" ht="13.5" customHeight="1" x14ac:dyDescent="0.2">
      <c r="B27" s="53"/>
      <c r="C27" s="54"/>
      <c r="D27" s="718"/>
      <c r="E27" s="719"/>
      <c r="F27" s="719"/>
      <c r="G27" s="719"/>
      <c r="H27" s="719"/>
      <c r="I27" s="719"/>
      <c r="J27" s="719"/>
      <c r="K27" s="719"/>
      <c r="L27" s="720"/>
      <c r="N27" s="552"/>
      <c r="O27" s="657"/>
      <c r="P27" s="357"/>
      <c r="Q27" s="357"/>
      <c r="R27" s="357"/>
      <c r="S27" s="357"/>
      <c r="T27" s="357"/>
      <c r="U27" s="357"/>
      <c r="V27" s="566"/>
      <c r="W27" s="357"/>
    </row>
    <row r="28" spans="2:23" ht="15" customHeight="1" x14ac:dyDescent="0.2">
      <c r="B28" s="52"/>
      <c r="C28" s="54"/>
      <c r="D28" s="718"/>
      <c r="E28" s="719"/>
      <c r="F28" s="719"/>
      <c r="G28" s="719"/>
      <c r="H28" s="719"/>
      <c r="I28" s="719"/>
      <c r="J28" s="719"/>
      <c r="K28" s="719"/>
      <c r="L28" s="720"/>
      <c r="N28" s="552"/>
      <c r="O28" s="357"/>
      <c r="P28" s="357"/>
      <c r="Q28" s="357"/>
      <c r="R28" s="357"/>
      <c r="S28" s="357"/>
      <c r="T28" s="357"/>
      <c r="U28" s="357"/>
      <c r="V28" s="357"/>
      <c r="W28" s="357"/>
    </row>
    <row r="29" spans="2:23" x14ac:dyDescent="0.2">
      <c r="B29" s="145"/>
      <c r="L29" s="144"/>
      <c r="N29" s="552"/>
      <c r="O29" s="357"/>
      <c r="P29" s="357"/>
      <c r="Q29" s="357"/>
      <c r="R29" s="357"/>
      <c r="S29" s="357"/>
      <c r="T29" s="357"/>
      <c r="U29" s="357"/>
      <c r="V29" s="357"/>
      <c r="W29" s="357"/>
    </row>
    <row r="30" spans="2:23" x14ac:dyDescent="0.2">
      <c r="N30" s="552"/>
      <c r="O30" s="357"/>
      <c r="P30" s="357"/>
      <c r="Q30" s="357"/>
      <c r="R30" s="357"/>
      <c r="S30" s="357"/>
      <c r="T30" s="357"/>
      <c r="U30" s="357"/>
      <c r="V30" s="357"/>
      <c r="W30" s="357"/>
    </row>
    <row r="31" spans="2:23" x14ac:dyDescent="0.2">
      <c r="N31" s="552"/>
      <c r="O31" s="357"/>
      <c r="P31" s="357"/>
      <c r="Q31" s="357"/>
      <c r="R31" s="357"/>
      <c r="S31" s="357"/>
      <c r="T31" s="357"/>
      <c r="U31" s="357"/>
      <c r="V31" s="357"/>
      <c r="W31" s="357"/>
    </row>
    <row r="32" spans="2:23" x14ac:dyDescent="0.2">
      <c r="N32" s="552"/>
      <c r="O32" s="357"/>
      <c r="P32" s="357"/>
      <c r="Q32" s="357"/>
      <c r="R32" s="357"/>
      <c r="S32" s="357"/>
      <c r="T32" s="357"/>
      <c r="U32" s="357"/>
      <c r="V32" s="357"/>
      <c r="W32" s="357"/>
    </row>
    <row r="33" spans="14:23" x14ac:dyDescent="0.2">
      <c r="N33" s="552"/>
      <c r="O33" s="357"/>
      <c r="P33" s="357"/>
      <c r="Q33" s="357"/>
      <c r="R33" s="357"/>
      <c r="S33" s="357"/>
      <c r="T33" s="357"/>
      <c r="U33" s="357"/>
      <c r="V33" s="357"/>
      <c r="W33" s="357"/>
    </row>
    <row r="34" spans="14:23" x14ac:dyDescent="0.2">
      <c r="N34" s="552"/>
      <c r="O34" s="357"/>
      <c r="P34" s="357"/>
      <c r="Q34" s="357"/>
      <c r="R34" s="357"/>
      <c r="S34" s="357"/>
      <c r="T34" s="357"/>
      <c r="U34" s="357"/>
      <c r="V34" s="357"/>
      <c r="W34" s="357"/>
    </row>
    <row r="35" spans="14:23" x14ac:dyDescent="0.2">
      <c r="N35" s="552"/>
      <c r="O35" s="357"/>
      <c r="P35" s="357"/>
      <c r="Q35" s="357"/>
      <c r="R35" s="357"/>
      <c r="S35" s="357"/>
      <c r="T35" s="357"/>
      <c r="U35" s="357"/>
      <c r="V35" s="357"/>
      <c r="W35" s="357"/>
    </row>
    <row r="36" spans="14:23" x14ac:dyDescent="0.2">
      <c r="N36" s="552"/>
      <c r="O36" s="357"/>
      <c r="P36" s="357"/>
      <c r="Q36" s="357"/>
      <c r="R36" s="357"/>
      <c r="S36" s="357"/>
      <c r="T36" s="357"/>
      <c r="U36" s="357"/>
      <c r="V36" s="357"/>
      <c r="W36" s="357"/>
    </row>
    <row r="37" spans="14:23" x14ac:dyDescent="0.2">
      <c r="N37" s="552"/>
      <c r="O37" s="357"/>
      <c r="P37" s="357"/>
      <c r="Q37" s="357"/>
      <c r="R37" s="357"/>
      <c r="S37" s="357"/>
      <c r="T37" s="357"/>
      <c r="U37" s="357"/>
      <c r="V37" s="357"/>
      <c r="W37" s="357"/>
    </row>
    <row r="38" spans="14:23" x14ac:dyDescent="0.2">
      <c r="N38" s="552"/>
      <c r="O38" s="357"/>
      <c r="P38" s="357"/>
      <c r="Q38" s="357"/>
      <c r="R38" s="357"/>
      <c r="S38" s="357"/>
      <c r="T38" s="357"/>
      <c r="U38" s="357"/>
      <c r="V38" s="357"/>
      <c r="W38" s="357"/>
    </row>
    <row r="39" spans="14:23" x14ac:dyDescent="0.2">
      <c r="N39" s="552"/>
      <c r="O39" s="357"/>
      <c r="P39" s="357"/>
      <c r="Q39" s="357"/>
      <c r="R39" s="357"/>
      <c r="S39" s="357"/>
      <c r="T39" s="357"/>
      <c r="U39" s="357"/>
      <c r="V39" s="357"/>
      <c r="W39" s="357"/>
    </row>
    <row r="40" spans="14:23" x14ac:dyDescent="0.2">
      <c r="N40" s="552"/>
      <c r="O40" s="357"/>
      <c r="P40" s="357"/>
      <c r="Q40" s="357"/>
      <c r="R40" s="357"/>
      <c r="S40" s="357"/>
      <c r="T40" s="357"/>
      <c r="U40" s="357"/>
      <c r="V40" s="357"/>
      <c r="W40" s="357"/>
    </row>
    <row r="41" spans="14:23" x14ac:dyDescent="0.2">
      <c r="N41" s="552"/>
      <c r="O41" s="357"/>
      <c r="P41" s="357"/>
      <c r="Q41" s="357"/>
      <c r="R41" s="357"/>
      <c r="S41" s="357"/>
      <c r="T41" s="357"/>
      <c r="U41" s="357"/>
      <c r="V41" s="357"/>
      <c r="W41" s="357"/>
    </row>
    <row r="42" spans="14:23" x14ac:dyDescent="0.2">
      <c r="N42" s="552"/>
      <c r="O42" s="357"/>
      <c r="P42" s="357"/>
      <c r="Q42" s="357"/>
      <c r="R42" s="357"/>
      <c r="S42" s="357"/>
      <c r="T42" s="357"/>
      <c r="U42" s="357"/>
      <c r="V42" s="357"/>
      <c r="W42" s="357"/>
    </row>
    <row r="43" spans="14:23" x14ac:dyDescent="0.2">
      <c r="N43" s="552"/>
      <c r="O43" s="357"/>
      <c r="P43" s="357"/>
      <c r="Q43" s="357"/>
      <c r="R43" s="357"/>
      <c r="S43" s="357"/>
      <c r="T43" s="357"/>
      <c r="U43" s="357"/>
      <c r="V43" s="357"/>
      <c r="W43" s="357"/>
    </row>
    <row r="44" spans="14:23" x14ac:dyDescent="0.2">
      <c r="N44" s="552"/>
      <c r="O44" s="357"/>
      <c r="P44" s="357"/>
      <c r="Q44" s="357"/>
      <c r="R44" s="357"/>
      <c r="S44" s="357"/>
      <c r="T44" s="357"/>
      <c r="U44" s="357"/>
      <c r="V44" s="357"/>
      <c r="W44" s="357"/>
    </row>
    <row r="45" spans="14:23" x14ac:dyDescent="0.2">
      <c r="N45" s="552"/>
      <c r="O45" s="357"/>
      <c r="P45" s="357"/>
      <c r="Q45" s="357"/>
      <c r="R45" s="357"/>
      <c r="S45" s="357"/>
      <c r="T45" s="357"/>
      <c r="U45" s="357"/>
      <c r="V45" s="357"/>
      <c r="W45" s="357"/>
    </row>
    <row r="46" spans="14:23" x14ac:dyDescent="0.2">
      <c r="N46" s="552"/>
      <c r="O46" s="357"/>
      <c r="P46" s="357"/>
      <c r="Q46" s="357"/>
      <c r="R46" s="357"/>
      <c r="S46" s="357"/>
      <c r="T46" s="357"/>
      <c r="U46" s="357"/>
      <c r="V46" s="357"/>
      <c r="W46" s="357"/>
    </row>
    <row r="47" spans="14:23" x14ac:dyDescent="0.2">
      <c r="N47" s="552"/>
      <c r="O47" s="357"/>
      <c r="P47" s="357"/>
      <c r="Q47" s="357"/>
      <c r="R47" s="357"/>
      <c r="S47" s="357"/>
      <c r="T47" s="357"/>
      <c r="U47" s="357"/>
      <c r="V47" s="357"/>
      <c r="W47" s="357"/>
    </row>
    <row r="48" spans="14:23" x14ac:dyDescent="0.2">
      <c r="N48" s="552"/>
      <c r="O48" s="357"/>
      <c r="P48" s="357"/>
      <c r="Q48" s="357"/>
      <c r="R48" s="357"/>
      <c r="S48" s="357"/>
      <c r="T48" s="357"/>
      <c r="U48" s="357"/>
      <c r="V48" s="357"/>
      <c r="W48" s="357"/>
    </row>
    <row r="49" spans="14:23" x14ac:dyDescent="0.2">
      <c r="N49" s="552"/>
      <c r="O49" s="357"/>
      <c r="P49" s="357"/>
      <c r="Q49" s="357"/>
      <c r="R49" s="357"/>
      <c r="S49" s="357"/>
      <c r="T49" s="357"/>
      <c r="U49" s="357"/>
      <c r="V49" s="357"/>
      <c r="W49" s="357"/>
    </row>
    <row r="50" spans="14:23" x14ac:dyDescent="0.2">
      <c r="N50" s="552"/>
      <c r="O50" s="357"/>
      <c r="P50" s="357"/>
      <c r="Q50" s="357"/>
      <c r="R50" s="357"/>
      <c r="S50" s="357"/>
      <c r="T50" s="357"/>
      <c r="U50" s="357"/>
      <c r="V50" s="357"/>
      <c r="W50" s="357"/>
    </row>
    <row r="51" spans="14:23" x14ac:dyDescent="0.2">
      <c r="N51" s="552"/>
      <c r="O51" s="357"/>
      <c r="P51" s="357"/>
      <c r="Q51" s="357"/>
      <c r="R51" s="357"/>
      <c r="S51" s="357"/>
      <c r="T51" s="357"/>
      <c r="U51" s="357"/>
      <c r="V51" s="357"/>
      <c r="W51" s="357"/>
    </row>
    <row r="52" spans="14:23" x14ac:dyDescent="0.2">
      <c r="N52" s="552"/>
      <c r="O52" s="357"/>
      <c r="P52" s="357"/>
      <c r="Q52" s="357"/>
      <c r="R52" s="357"/>
      <c r="S52" s="357"/>
      <c r="T52" s="357"/>
      <c r="U52" s="357"/>
      <c r="V52" s="357"/>
      <c r="W52" s="357"/>
    </row>
    <row r="53" spans="14:23" x14ac:dyDescent="0.2">
      <c r="N53" s="552"/>
      <c r="O53" s="357"/>
      <c r="P53" s="357"/>
      <c r="Q53" s="357"/>
      <c r="R53" s="357"/>
      <c r="S53" s="357"/>
      <c r="T53" s="357"/>
      <c r="U53" s="357"/>
      <c r="V53" s="357"/>
      <c r="W53" s="357"/>
    </row>
    <row r="54" spans="14:23" x14ac:dyDescent="0.2">
      <c r="N54" s="552"/>
      <c r="O54" s="357"/>
      <c r="P54" s="357"/>
      <c r="Q54" s="357"/>
      <c r="R54" s="357"/>
      <c r="S54" s="357"/>
      <c r="T54" s="357"/>
      <c r="U54" s="357"/>
      <c r="V54" s="357"/>
      <c r="W54" s="357"/>
    </row>
    <row r="55" spans="14:23" x14ac:dyDescent="0.2">
      <c r="N55" s="552"/>
      <c r="O55" s="357"/>
      <c r="P55" s="357"/>
      <c r="Q55" s="357"/>
      <c r="R55" s="357"/>
      <c r="S55" s="357"/>
      <c r="T55" s="357"/>
      <c r="U55" s="357"/>
      <c r="V55" s="357"/>
      <c r="W55" s="357"/>
    </row>
    <row r="56" spans="14:23" x14ac:dyDescent="0.2">
      <c r="N56" s="552"/>
      <c r="O56" s="357"/>
      <c r="P56" s="357"/>
      <c r="Q56" s="357"/>
      <c r="R56" s="357"/>
      <c r="S56" s="357"/>
      <c r="T56" s="357"/>
      <c r="U56" s="357"/>
      <c r="V56" s="357"/>
      <c r="W56" s="357"/>
    </row>
    <row r="57" spans="14:23" x14ac:dyDescent="0.2">
      <c r="N57" s="552"/>
      <c r="O57" s="357"/>
      <c r="P57" s="357"/>
      <c r="Q57" s="357"/>
      <c r="R57" s="357"/>
      <c r="S57" s="357"/>
      <c r="T57" s="357"/>
      <c r="U57" s="357"/>
      <c r="V57" s="357"/>
      <c r="W57" s="357"/>
    </row>
    <row r="58" spans="14:23" x14ac:dyDescent="0.2">
      <c r="N58" s="552"/>
      <c r="O58" s="357"/>
      <c r="P58" s="357"/>
      <c r="Q58" s="357"/>
      <c r="R58" s="357"/>
      <c r="S58" s="357"/>
      <c r="T58" s="357"/>
      <c r="U58" s="357"/>
      <c r="V58" s="357"/>
      <c r="W58" s="357"/>
    </row>
    <row r="59" spans="14:23" x14ac:dyDescent="0.2">
      <c r="N59" s="552"/>
      <c r="O59" s="357"/>
      <c r="P59" s="357"/>
      <c r="Q59" s="357"/>
      <c r="R59" s="357"/>
      <c r="S59" s="357"/>
      <c r="T59" s="357"/>
      <c r="U59" s="357"/>
      <c r="V59" s="357"/>
      <c r="W59" s="357"/>
    </row>
    <row r="60" spans="14:23" x14ac:dyDescent="0.2">
      <c r="N60" s="552"/>
      <c r="O60" s="357"/>
      <c r="P60" s="357"/>
      <c r="Q60" s="357"/>
      <c r="R60" s="357"/>
      <c r="S60" s="357"/>
      <c r="T60" s="357"/>
      <c r="U60" s="357"/>
      <c r="V60" s="357"/>
      <c r="W60" s="357"/>
    </row>
    <row r="61" spans="14:23" x14ac:dyDescent="0.2">
      <c r="N61" s="552"/>
      <c r="O61" s="357"/>
      <c r="P61" s="357"/>
      <c r="Q61" s="357"/>
      <c r="R61" s="357"/>
      <c r="S61" s="357"/>
      <c r="T61" s="357"/>
      <c r="U61" s="357"/>
      <c r="V61" s="357"/>
      <c r="W61" s="357"/>
    </row>
    <row r="62" spans="14:23" x14ac:dyDescent="0.2">
      <c r="N62" s="552"/>
      <c r="O62" s="357"/>
      <c r="P62" s="357"/>
      <c r="Q62" s="357"/>
      <c r="R62" s="357"/>
      <c r="S62" s="357"/>
      <c r="T62" s="357"/>
      <c r="U62" s="357"/>
      <c r="V62" s="357"/>
      <c r="W62" s="357"/>
    </row>
    <row r="63" spans="14:23" x14ac:dyDescent="0.2">
      <c r="N63" s="552"/>
      <c r="O63" s="357"/>
      <c r="P63" s="357"/>
      <c r="Q63" s="357"/>
      <c r="R63" s="357"/>
      <c r="S63" s="357"/>
      <c r="T63" s="357"/>
      <c r="U63" s="357"/>
      <c r="V63" s="357"/>
      <c r="W63" s="357"/>
    </row>
    <row r="64" spans="14:23" x14ac:dyDescent="0.2">
      <c r="N64" s="552"/>
      <c r="O64" s="357"/>
      <c r="P64" s="357"/>
      <c r="Q64" s="357"/>
      <c r="R64" s="357"/>
      <c r="S64" s="357"/>
      <c r="T64" s="357"/>
      <c r="U64" s="357"/>
      <c r="V64" s="357"/>
      <c r="W64" s="357"/>
    </row>
    <row r="65" spans="14:23" x14ac:dyDescent="0.2">
      <c r="N65" s="552"/>
      <c r="O65" s="357"/>
      <c r="P65" s="357"/>
      <c r="Q65" s="357"/>
      <c r="R65" s="357"/>
      <c r="S65" s="357"/>
      <c r="T65" s="357"/>
      <c r="U65" s="357"/>
      <c r="V65" s="357"/>
      <c r="W65" s="357"/>
    </row>
    <row r="66" spans="14:23" x14ac:dyDescent="0.2">
      <c r="N66" s="552"/>
      <c r="O66" s="357"/>
      <c r="P66" s="357"/>
      <c r="Q66" s="357"/>
      <c r="R66" s="357"/>
      <c r="S66" s="357"/>
      <c r="T66" s="357"/>
      <c r="U66" s="357"/>
      <c r="V66" s="357"/>
      <c r="W66" s="357"/>
    </row>
  </sheetData>
  <sheetProtection algorithmName="SHA-512" hashValue="b5VwpoHmNWngwgZcq3kgv3A+PLuurPX7qyiGAhQEi1kI96TvCJmKdnwFC6kArKWCG8KKqMhEOyrDzGgoU5eT0g==" saltValue="zQSdcJUfQQQDGo8b1b2szg==" spinCount="100000" sheet="1" selectLockedCells="1"/>
  <mergeCells count="17">
    <mergeCell ref="Q20:T20"/>
    <mergeCell ref="Q16:T16"/>
    <mergeCell ref="Q17:T17"/>
    <mergeCell ref="Q18:T18"/>
    <mergeCell ref="O22:O24"/>
    <mergeCell ref="P22:T24"/>
    <mergeCell ref="Q19:T19"/>
    <mergeCell ref="D28:L28"/>
    <mergeCell ref="D5:D6"/>
    <mergeCell ref="E5:L6"/>
    <mergeCell ref="B7:L7"/>
    <mergeCell ref="C1:L1"/>
    <mergeCell ref="B24:B25"/>
    <mergeCell ref="C24:C25"/>
    <mergeCell ref="D24:L25"/>
    <mergeCell ref="D26:L26"/>
    <mergeCell ref="D27:L27"/>
  </mergeCells>
  <phoneticPr fontId="5" type="noConversion"/>
  <conditionalFormatting sqref="C1:L1">
    <cfRule type="expression" dxfId="1284" priority="8" stopIfTrue="1">
      <formula>expired=TRUE</formula>
    </cfRule>
    <cfRule type="expression" dxfId="1283" priority="9" stopIfTrue="1">
      <formula>OR(old_ver=TRUE,exp_warn=TRUE)</formula>
    </cfRule>
  </conditionalFormatting>
  <conditionalFormatting sqref="O12">
    <cfRule type="expression" dxfId="1282" priority="6">
      <formula>expire_date=""</formula>
    </cfRule>
  </conditionalFormatting>
  <conditionalFormatting sqref="O13:O14">
    <cfRule type="expression" dxfId="1281" priority="4">
      <formula>expire_date=""</formula>
    </cfRule>
  </conditionalFormatting>
  <conditionalFormatting sqref="P12:Q12">
    <cfRule type="expression" dxfId="1280" priority="3">
      <formula>expire_date=""</formula>
    </cfRule>
  </conditionalFormatting>
  <conditionalFormatting sqref="P13:Q13">
    <cfRule type="expression" dxfId="1279" priority="2">
      <formula>expire_date=""</formula>
    </cfRule>
  </conditionalFormatting>
  <conditionalFormatting sqref="P14">
    <cfRule type="expression" dxfId="1278" priority="1">
      <formula>expire_date=""</formula>
    </cfRule>
  </conditionalFormatting>
  <pageMargins left="0.5" right="0.5" top="1" bottom="1" header="0.5" footer="0.5"/>
  <pageSetup scale="89" fitToHeight="6" orientation="portrait" r:id="rId1"/>
  <headerFooter alignWithMargins="0">
    <oddFooter>&amp;L&amp;F
&amp;A&amp;RDate: &amp;D
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rgb="FF0000FF"/>
    <pageSetUpPr fitToPage="1"/>
  </sheetPr>
  <dimension ref="B1:AJ56"/>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4" width="4.7109375" hidden="1" customWidth="1"/>
    <col min="15" max="15" width="4.28515625" hidden="1" customWidth="1"/>
    <col min="16" max="16" width="11.7109375" style="41" hidden="1" customWidth="1"/>
    <col min="17" max="17" width="9.7109375" style="41" hidden="1" customWidth="1"/>
    <col min="18" max="18" width="8.42578125" style="41" hidden="1" customWidth="1"/>
    <col min="19" max="19" width="19" style="41" hidden="1" customWidth="1"/>
    <col min="20" max="21" width="7.7109375" style="41" hidden="1" customWidth="1"/>
    <col min="22" max="22" width="8.7109375" style="41" hidden="1" customWidth="1"/>
    <col min="23" max="23" width="29.42578125" style="41" hidden="1" customWidth="1"/>
    <col min="24" max="24" width="4.7109375" style="41" hidden="1" customWidth="1"/>
    <col min="25" max="25" width="3.5703125" style="41" hidden="1" customWidth="1"/>
    <col min="26" max="33" width="9.140625" style="41" hidden="1" customWidth="1"/>
    <col min="34" max="34" width="37.85546875" style="41" hidden="1" customWidth="1"/>
    <col min="35" max="36" width="9" hidden="1" customWidth="1"/>
    <col min="37" max="37" width="8.140625" customWidth="1"/>
  </cols>
  <sheetData>
    <row r="1" spans="2:36" ht="22.9" customHeight="1" thickBot="1" x14ac:dyDescent="0.25">
      <c r="B1" s="807" t="str">
        <f ca="1">status_msg</f>
        <v/>
      </c>
      <c r="C1" s="807"/>
      <c r="D1" s="807"/>
      <c r="E1" s="807"/>
      <c r="F1" s="807"/>
      <c r="G1" s="807"/>
      <c r="H1" s="807"/>
      <c r="I1" s="514" t="str">
        <f>Q1</f>
        <v>CAP 929</v>
      </c>
      <c r="J1" s="514" t="str">
        <f>R1</f>
        <v>N288CP</v>
      </c>
      <c r="K1" s="515"/>
      <c r="L1" s="516" t="str">
        <f>S1</f>
        <v>(230hp C182T) Long Range Tanks</v>
      </c>
      <c r="M1" s="517"/>
      <c r="P1" s="354" t="s">
        <v>178</v>
      </c>
      <c r="Q1" s="355" t="s">
        <v>258</v>
      </c>
      <c r="R1" s="355" t="s">
        <v>259</v>
      </c>
      <c r="S1" s="356" t="s">
        <v>181</v>
      </c>
      <c r="T1" s="356"/>
      <c r="U1" s="357"/>
      <c r="V1" s="357"/>
      <c r="W1" s="357"/>
      <c r="X1" s="357"/>
      <c r="Y1" s="357"/>
      <c r="Z1" s="357"/>
      <c r="AA1" s="357"/>
      <c r="AB1" s="357"/>
      <c r="AC1" s="357"/>
      <c r="AD1" s="357"/>
      <c r="AE1" s="357"/>
      <c r="AF1" s="357"/>
      <c r="AG1" s="357"/>
      <c r="AH1" s="357"/>
      <c r="AI1" s="237"/>
      <c r="AJ1" s="237"/>
    </row>
    <row r="2" spans="2:36" ht="15" customHeight="1" thickTop="1" thickBot="1" x14ac:dyDescent="0.25">
      <c r="B2" s="137" t="s">
        <v>131</v>
      </c>
      <c r="C2" s="808"/>
      <c r="D2" s="808"/>
      <c r="E2" s="809"/>
      <c r="F2" s="142" t="str">
        <f>IF(D3="","mm/dd/yy","(if not today)")</f>
        <v>mm/dd/yy</v>
      </c>
      <c r="H2" s="523"/>
      <c r="I2" s="138" t="s">
        <v>131</v>
      </c>
      <c r="J2" s="810" t="str">
        <f>IF(C3="","","Mission Symbol")&amp;"   Mission No:"</f>
        <v xml:space="preserve">   Mission No:</v>
      </c>
      <c r="K2" s="810"/>
      <c r="L2" s="671" t="s">
        <v>130</v>
      </c>
      <c r="P2" s="358"/>
      <c r="Q2" s="359" t="s">
        <v>173</v>
      </c>
      <c r="R2" s="359" t="s">
        <v>145</v>
      </c>
      <c r="S2" s="360" t="s">
        <v>172</v>
      </c>
      <c r="T2" s="361"/>
      <c r="U2" s="357"/>
      <c r="V2" s="357"/>
      <c r="W2" s="357"/>
      <c r="X2" s="357"/>
      <c r="Y2" s="357"/>
      <c r="Z2" s="357"/>
      <c r="AA2" s="357"/>
      <c r="AB2" s="357"/>
      <c r="AC2" s="357"/>
      <c r="AD2" s="357"/>
      <c r="AE2" s="357"/>
      <c r="AF2" s="357"/>
      <c r="AG2" s="357"/>
      <c r="AH2" s="357"/>
      <c r="AI2" s="237"/>
      <c r="AJ2" s="237"/>
    </row>
    <row r="3" spans="2:36" ht="15" customHeight="1" thickTop="1" thickBot="1" x14ac:dyDescent="0.25">
      <c r="B3" s="140" t="s">
        <v>137</v>
      </c>
      <c r="C3" s="672"/>
      <c r="D3" s="811"/>
      <c r="E3" s="811"/>
      <c r="F3" s="812"/>
      <c r="I3" s="131" t="str">
        <f ca="1">IF(AND(D3="",C2=""),"",IF(C2="",TODAY(),C2))</f>
        <v/>
      </c>
      <c r="J3" s="813" t="str">
        <f>IF(C3="","",IF(D3="","",C3))&amp;"      "&amp;IF(D3="","",D3)</f>
        <v xml:space="preserve">      </v>
      </c>
      <c r="K3" s="814"/>
      <c r="L3" s="132" t="str">
        <f>IF(C4="","",C4)</f>
        <v/>
      </c>
      <c r="P3" s="362"/>
      <c r="Q3" s="363"/>
      <c r="R3" s="363"/>
      <c r="S3" s="357"/>
      <c r="T3" s="357"/>
      <c r="U3" s="357"/>
      <c r="V3" s="357"/>
      <c r="W3" s="357"/>
      <c r="X3" s="357"/>
      <c r="Y3" s="357"/>
      <c r="Z3" s="364"/>
      <c r="AA3" s="357"/>
      <c r="AB3" s="365"/>
      <c r="AC3" s="357"/>
      <c r="AD3" s="357"/>
      <c r="AE3" s="357"/>
      <c r="AF3" s="357"/>
      <c r="AG3" s="357"/>
      <c r="AH3" s="357"/>
      <c r="AI3" s="237"/>
      <c r="AJ3" s="237"/>
    </row>
    <row r="4" spans="2:36" ht="12" customHeight="1" thickTop="1" x14ac:dyDescent="0.2">
      <c r="B4" s="140" t="s">
        <v>130</v>
      </c>
      <c r="C4" s="822"/>
      <c r="D4" s="823"/>
      <c r="E4" s="140"/>
      <c r="I4" s="687" t="s">
        <v>282</v>
      </c>
      <c r="J4" s="689"/>
      <c r="K4" s="688"/>
      <c r="L4" s="688"/>
      <c r="M4" s="688"/>
      <c r="P4" s="553" t="s">
        <v>222</v>
      </c>
      <c r="Q4" s="366"/>
      <c r="R4" s="366"/>
      <c r="S4" s="357"/>
      <c r="T4" s="367" t="s">
        <v>98</v>
      </c>
      <c r="U4" s="368"/>
      <c r="V4" s="369" t="s">
        <v>99</v>
      </c>
      <c r="W4" s="357"/>
      <c r="X4" s="357"/>
      <c r="Y4" s="357"/>
      <c r="Z4" s="357"/>
      <c r="AA4" s="357"/>
      <c r="AB4" s="357"/>
      <c r="AC4" s="357"/>
      <c r="AD4" s="357"/>
      <c r="AE4" s="357"/>
      <c r="AF4" s="357"/>
      <c r="AG4" s="357"/>
      <c r="AH4" s="357"/>
      <c r="AI4" s="237"/>
      <c r="AJ4" s="237"/>
    </row>
    <row r="5" spans="2:36" ht="12" customHeight="1" x14ac:dyDescent="0.2">
      <c r="I5" s="35"/>
      <c r="J5" s="36"/>
      <c r="K5" s="36"/>
      <c r="L5" s="36"/>
      <c r="M5" s="134" t="str">
        <f>"Release ID:   "&amp;release_nbr&amp;"    "&amp;TEXT(release_date,"dd mmm yyyy  ")</f>
        <v xml:space="preserve">Release ID:   R1    21 Mar 2020  </v>
      </c>
      <c r="P5" s="362"/>
      <c r="Q5" s="357"/>
      <c r="R5" s="357"/>
      <c r="S5" s="357"/>
      <c r="T5" s="357"/>
      <c r="U5" s="357"/>
      <c r="V5" s="357"/>
      <c r="W5" s="357"/>
      <c r="X5" s="357"/>
      <c r="Y5" s="357"/>
      <c r="Z5" s="357"/>
      <c r="AA5" s="357"/>
      <c r="AB5" s="357"/>
      <c r="AC5" s="357"/>
      <c r="AD5" s="357"/>
      <c r="AE5" s="357"/>
      <c r="AF5" s="357"/>
      <c r="AG5" s="357"/>
      <c r="AH5" s="357"/>
      <c r="AI5" s="237"/>
      <c r="AJ5" s="237"/>
    </row>
    <row r="6" spans="2:36" ht="12.75" customHeight="1" thickBot="1" x14ac:dyDescent="0.35">
      <c r="B6" s="3" t="s">
        <v>31</v>
      </c>
      <c r="I6" s="37" t="s">
        <v>0</v>
      </c>
      <c r="J6" s="38" t="s">
        <v>1</v>
      </c>
      <c r="K6" s="38" t="s">
        <v>2</v>
      </c>
      <c r="L6" s="39" t="s">
        <v>97</v>
      </c>
      <c r="M6" s="133" t="s">
        <v>3</v>
      </c>
      <c r="P6" s="362"/>
      <c r="Q6" s="370" t="s">
        <v>120</v>
      </c>
      <c r="R6" s="371"/>
      <c r="S6" s="371"/>
      <c r="T6" s="371"/>
      <c r="U6" s="372" t="s">
        <v>1</v>
      </c>
      <c r="V6" s="372" t="s">
        <v>2</v>
      </c>
      <c r="W6" s="373" t="s">
        <v>179</v>
      </c>
      <c r="X6" s="357"/>
      <c r="Y6" s="357"/>
      <c r="Z6" s="357"/>
      <c r="AA6" s="357"/>
      <c r="AB6" s="374" t="s">
        <v>163</v>
      </c>
      <c r="AC6" s="371"/>
      <c r="AD6" s="371"/>
      <c r="AE6" s="371"/>
      <c r="AF6" s="371"/>
      <c r="AG6" s="371"/>
      <c r="AH6" s="357"/>
      <c r="AI6" s="237"/>
      <c r="AJ6" s="237"/>
    </row>
    <row r="7" spans="2:36" ht="15" customHeight="1" thickTop="1" thickBot="1" x14ac:dyDescent="0.25">
      <c r="B7" s="803" t="s">
        <v>32</v>
      </c>
      <c r="C7" s="802"/>
      <c r="D7" s="804"/>
      <c r="E7" s="802"/>
      <c r="F7" s="800"/>
      <c r="H7" s="1"/>
      <c r="I7" s="13" t="s">
        <v>4</v>
      </c>
      <c r="J7" s="188">
        <f>U7</f>
        <v>2059.8000000000002</v>
      </c>
      <c r="K7" s="67">
        <f>V7</f>
        <v>39.110999999999997</v>
      </c>
      <c r="L7" s="68">
        <f>ROUND(J7*K7/1000,5)</f>
        <v>80.560839999999999</v>
      </c>
      <c r="M7" s="586" t="str">
        <f>IF(W7="","",W7)</f>
        <v>W/B: 08-DEC-2016 Yingling Aircraft</v>
      </c>
      <c r="P7" s="362"/>
      <c r="Q7" s="375" t="str">
        <f>"Ln"&amp;ROW()</f>
        <v>Ln7</v>
      </c>
      <c r="R7" s="376"/>
      <c r="S7" s="377" t="s">
        <v>4</v>
      </c>
      <c r="T7" s="378"/>
      <c r="U7" s="545">
        <v>2059.8000000000002</v>
      </c>
      <c r="V7" s="380">
        <v>39.110999999999997</v>
      </c>
      <c r="W7" s="381" t="s">
        <v>295</v>
      </c>
      <c r="X7" s="357"/>
      <c r="Y7" s="357"/>
      <c r="Z7" s="357"/>
      <c r="AA7" s="357"/>
      <c r="AB7" s="357"/>
      <c r="AC7" s="382"/>
      <c r="AD7" s="383" t="s">
        <v>162</v>
      </c>
      <c r="AE7" s="357"/>
      <c r="AF7" s="357"/>
      <c r="AG7" s="357"/>
      <c r="AH7" s="357"/>
      <c r="AI7" s="237"/>
      <c r="AJ7" s="237"/>
    </row>
    <row r="8" spans="2:36" ht="15" customHeight="1" thickTop="1" thickBot="1" x14ac:dyDescent="0.25">
      <c r="B8" s="803"/>
      <c r="C8" s="802"/>
      <c r="D8" s="804"/>
      <c r="E8" s="802"/>
      <c r="F8" s="800"/>
      <c r="H8" s="1"/>
      <c r="I8" s="125" t="s">
        <v>10</v>
      </c>
      <c r="J8" s="189">
        <f>D15*6</f>
        <v>384</v>
      </c>
      <c r="K8" s="69">
        <f>U18</f>
        <v>46.5</v>
      </c>
      <c r="L8" s="72">
        <f t="shared" ref="L8:L13" si="0">ROUND((J8*K8)/1000,5)</f>
        <v>17.856000000000002</v>
      </c>
      <c r="M8" s="11" t="str">
        <f>V18&amp;" lbs Max ("&amp;T18&amp;" gals)  "&amp;IF(OR(T18=T19,T19="",T19=0),"",V19&amp;" lbs Tabs ("&amp;T19&amp;" gals)")</f>
        <v>522 lbs Max (87 gals)  384 lbs Tabs (64 gals)</v>
      </c>
      <c r="P8" s="362"/>
      <c r="Q8" s="375" t="str">
        <f t="shared" ref="Q8:Q34" si="1">"Ln"&amp;ROW()</f>
        <v>Ln8</v>
      </c>
      <c r="R8" s="384" t="str">
        <f ca="1">IF(J16&gt;U8,"ERR","OK")</f>
        <v>OK</v>
      </c>
      <c r="S8" s="377" t="s">
        <v>168</v>
      </c>
      <c r="T8" s="378"/>
      <c r="U8" s="385">
        <v>3100</v>
      </c>
      <c r="V8" s="357"/>
      <c r="W8" s="357"/>
      <c r="X8" s="357"/>
      <c r="Y8" s="386"/>
      <c r="Z8" s="387"/>
      <c r="AA8" s="388">
        <v>3100</v>
      </c>
      <c r="AC8" s="624">
        <f>AA8</f>
        <v>3100</v>
      </c>
      <c r="AD8" s="357"/>
      <c r="AF8" s="389">
        <v>40.9</v>
      </c>
      <c r="AH8" s="390">
        <v>46</v>
      </c>
      <c r="AI8" s="237"/>
      <c r="AJ8" s="237"/>
    </row>
    <row r="9" spans="2:36" ht="15" customHeight="1" thickTop="1" thickBot="1" x14ac:dyDescent="0.25">
      <c r="B9" s="803" t="s">
        <v>33</v>
      </c>
      <c r="C9" s="802"/>
      <c r="D9" s="804"/>
      <c r="E9" s="802"/>
      <c r="F9" s="800"/>
      <c r="H9" s="1"/>
      <c r="I9" s="125" t="s">
        <v>11</v>
      </c>
      <c r="J9" s="189">
        <f>C7+E7</f>
        <v>0</v>
      </c>
      <c r="K9" s="69">
        <f>U26</f>
        <v>37</v>
      </c>
      <c r="L9" s="72">
        <f t="shared" si="0"/>
        <v>0</v>
      </c>
      <c r="M9" s="11" t="str">
        <f>IF(W26="","",W26)</f>
        <v/>
      </c>
      <c r="P9" s="362"/>
      <c r="Q9" s="375" t="str">
        <f t="shared" si="1"/>
        <v>Ln9</v>
      </c>
      <c r="R9" s="391"/>
      <c r="S9" s="377" t="s">
        <v>169</v>
      </c>
      <c r="T9" s="378"/>
      <c r="U9" s="385">
        <v>3110</v>
      </c>
      <c r="V9" s="392"/>
      <c r="W9" s="393" t="s">
        <v>176</v>
      </c>
      <c r="X9" s="357"/>
      <c r="Y9" s="394"/>
      <c r="Z9" s="395"/>
      <c r="AD9" s="357"/>
      <c r="AI9" s="237"/>
      <c r="AJ9" s="237"/>
    </row>
    <row r="10" spans="2:36" ht="15" customHeight="1" thickTop="1" thickBot="1" x14ac:dyDescent="0.3">
      <c r="B10" s="803"/>
      <c r="C10" s="802"/>
      <c r="D10" s="804"/>
      <c r="E10" s="802"/>
      <c r="F10" s="800"/>
      <c r="H10" s="1"/>
      <c r="I10" s="125" t="s">
        <v>12</v>
      </c>
      <c r="J10" s="189">
        <f>C9+E9</f>
        <v>0</v>
      </c>
      <c r="K10" s="69">
        <f>U27</f>
        <v>74</v>
      </c>
      <c r="L10" s="72">
        <f t="shared" si="0"/>
        <v>0</v>
      </c>
      <c r="M10" s="11" t="str">
        <f>IF(W27="","",W27)</f>
        <v/>
      </c>
      <c r="P10" s="362"/>
      <c r="Q10" s="375" t="str">
        <f t="shared" si="1"/>
        <v>Ln10</v>
      </c>
      <c r="R10" s="384" t="str">
        <f>IF(U8=U10,"OK",IF(J20&gt;U10,"WARN","OK"))</f>
        <v>OK</v>
      </c>
      <c r="S10" s="377" t="s">
        <v>170</v>
      </c>
      <c r="T10" s="378"/>
      <c r="U10" s="385">
        <v>2950</v>
      </c>
      <c r="V10" s="392"/>
      <c r="W10" s="393" t="s">
        <v>176</v>
      </c>
      <c r="X10" s="357"/>
      <c r="Y10" s="396" t="s">
        <v>155</v>
      </c>
      <c r="Z10" s="388">
        <v>2700</v>
      </c>
      <c r="AD10" s="357"/>
      <c r="AE10" s="389">
        <v>35.5</v>
      </c>
      <c r="AI10" s="237"/>
      <c r="AJ10" s="237"/>
    </row>
    <row r="11" spans="2:36" ht="15" customHeight="1" thickTop="1" thickBot="1" x14ac:dyDescent="0.3">
      <c r="B11" s="6" t="s">
        <v>25</v>
      </c>
      <c r="C11" s="800"/>
      <c r="D11" s="801"/>
      <c r="E11" s="801"/>
      <c r="F11" s="802"/>
      <c r="H11" s="1"/>
      <c r="I11" s="19" t="s">
        <v>13</v>
      </c>
      <c r="J11" s="189">
        <f>C11</f>
        <v>0</v>
      </c>
      <c r="K11" s="69">
        <f>U29</f>
        <v>97</v>
      </c>
      <c r="L11" s="72">
        <f t="shared" si="0"/>
        <v>0</v>
      </c>
      <c r="M11" s="11" t="str">
        <f>V29&amp;" lbs max ("&amp;V32&amp;" max baggage 1+2+3)"</f>
        <v>120 lbs max (200 max baggage 1+2+3)</v>
      </c>
      <c r="P11" s="362"/>
      <c r="Q11" s="375" t="str">
        <f t="shared" si="1"/>
        <v>Ln11</v>
      </c>
      <c r="R11" s="384" t="str">
        <f ca="1">IF(U8=U10,"OK",IF(J19&gt;U11,"WARN","OK"))</f>
        <v>OK</v>
      </c>
      <c r="S11" s="397" t="s">
        <v>171</v>
      </c>
      <c r="T11" s="398"/>
      <c r="U11" s="399">
        <f>U10</f>
        <v>2950</v>
      </c>
      <c r="V11" s="357"/>
      <c r="W11" s="357"/>
      <c r="X11" s="357"/>
      <c r="Y11" s="396" t="s">
        <v>50</v>
      </c>
      <c r="Z11" s="395"/>
      <c r="AA11" s="766" t="s">
        <v>1</v>
      </c>
      <c r="AB11" s="766"/>
      <c r="AD11" s="357"/>
      <c r="AF11" s="766" t="s">
        <v>154</v>
      </c>
      <c r="AG11" s="766"/>
      <c r="AI11" s="237"/>
      <c r="AJ11" s="237"/>
    </row>
    <row r="12" spans="2:36" ht="15" customHeight="1" thickTop="1" thickBot="1" x14ac:dyDescent="0.3">
      <c r="B12" s="6" t="s">
        <v>26</v>
      </c>
      <c r="C12" s="800"/>
      <c r="D12" s="801"/>
      <c r="E12" s="801"/>
      <c r="F12" s="802"/>
      <c r="H12" s="1"/>
      <c r="I12" s="19" t="s">
        <v>14</v>
      </c>
      <c r="J12" s="189">
        <f>C12</f>
        <v>0</v>
      </c>
      <c r="K12" s="69">
        <f>U30</f>
        <v>116</v>
      </c>
      <c r="L12" s="72">
        <f t="shared" si="0"/>
        <v>0</v>
      </c>
      <c r="M12" s="11" t="str">
        <f>V30&amp;" lbs max  ("&amp;V34&amp;" max baggage 2+3)"</f>
        <v>80 lbs max  (80 max baggage 2+3)</v>
      </c>
      <c r="P12" s="362"/>
      <c r="Q12" s="375" t="str">
        <f t="shared" si="1"/>
        <v>Ln12</v>
      </c>
      <c r="R12" s="391"/>
      <c r="S12" s="400" t="s">
        <v>7</v>
      </c>
      <c r="T12" s="391"/>
      <c r="U12" s="391"/>
      <c r="V12" s="392"/>
      <c r="W12" s="393" t="s">
        <v>176</v>
      </c>
      <c r="X12" s="357"/>
      <c r="Y12" s="396" t="s">
        <v>56</v>
      </c>
      <c r="Z12" s="388">
        <v>2240</v>
      </c>
      <c r="AA12" s="766" t="s">
        <v>153</v>
      </c>
      <c r="AB12" s="766"/>
      <c r="AD12" s="357"/>
      <c r="AE12" s="623">
        <f>AE16</f>
        <v>33</v>
      </c>
      <c r="AF12" s="766" t="s">
        <v>153</v>
      </c>
      <c r="AG12" s="766"/>
      <c r="AI12" s="237"/>
      <c r="AJ12" s="237"/>
    </row>
    <row r="13" spans="2:36" ht="15" customHeight="1" thickTop="1" x14ac:dyDescent="0.25">
      <c r="B13" s="508" t="s">
        <v>70</v>
      </c>
      <c r="D13" s="821"/>
      <c r="E13" s="821"/>
      <c r="H13" s="1"/>
      <c r="I13" s="19" t="s">
        <v>17</v>
      </c>
      <c r="J13" s="189">
        <f>D13</f>
        <v>0</v>
      </c>
      <c r="K13" s="69">
        <f>U31</f>
        <v>129</v>
      </c>
      <c r="L13" s="72">
        <f t="shared" si="0"/>
        <v>0</v>
      </c>
      <c r="M13" s="513" t="str">
        <f>V31&amp;" Lbs Max (on shelf)"</f>
        <v>80 Lbs Max (on shelf)</v>
      </c>
      <c r="P13" s="362"/>
      <c r="Q13" s="375" t="str">
        <f t="shared" si="1"/>
        <v>Ln13</v>
      </c>
      <c r="R13" s="391"/>
      <c r="S13" s="400" t="s">
        <v>194</v>
      </c>
      <c r="T13" s="391"/>
      <c r="U13" s="391"/>
      <c r="V13" s="392"/>
      <c r="W13" s="393" t="s">
        <v>176</v>
      </c>
      <c r="X13" s="357"/>
      <c r="Y13" s="396" t="s">
        <v>57</v>
      </c>
      <c r="Z13" s="395"/>
      <c r="AC13" s="767" t="s">
        <v>157</v>
      </c>
      <c r="AD13" s="357"/>
      <c r="AH13" s="767" t="s">
        <v>167</v>
      </c>
      <c r="AI13" s="237"/>
      <c r="AJ13" s="237"/>
    </row>
    <row r="14" spans="2:36" ht="15" customHeight="1" thickBot="1" x14ac:dyDescent="0.35">
      <c r="B14" s="3"/>
      <c r="C14" s="235"/>
      <c r="D14" s="2"/>
      <c r="E14" s="2"/>
      <c r="F14" s="40" t="str">
        <f>IF(R20="err","","(Std Fueling "&amp;T19&amp;" gal ("&amp;T20&amp;"))")</f>
        <v>(Std Fueling 64 gal (TABS))</v>
      </c>
      <c r="H14" s="1"/>
      <c r="I14" s="15" t="s">
        <v>6</v>
      </c>
      <c r="J14" s="71">
        <f>SUM(J7:J13)</f>
        <v>2443.8000000000002</v>
      </c>
      <c r="K14" s="26"/>
      <c r="L14" s="70">
        <f>SUM(L7:L13)</f>
        <v>98.416840000000008</v>
      </c>
      <c r="M14" s="11" t="str">
        <f>"Max Ramp Weight: "&amp;TEXT(U9,"#,###")&amp;IF(U8&lt;&gt;U10," - Landing "&amp;TEXT(U10,"#,###"),"")</f>
        <v>Max Ramp Weight: 3,110 - Landing 2,950</v>
      </c>
      <c r="P14" s="362"/>
      <c r="Q14" s="375" t="str">
        <f t="shared" si="1"/>
        <v>Ln14</v>
      </c>
      <c r="R14" s="391"/>
      <c r="S14" s="400" t="s">
        <v>24</v>
      </c>
      <c r="T14" s="391"/>
      <c r="U14" s="391"/>
      <c r="V14" s="392"/>
      <c r="W14" s="393" t="s">
        <v>177</v>
      </c>
      <c r="X14" s="357"/>
      <c r="Y14" s="396" t="s">
        <v>156</v>
      </c>
      <c r="Z14" s="395"/>
      <c r="AC14" s="767"/>
      <c r="AD14" s="357"/>
      <c r="AH14" s="767"/>
      <c r="AI14" s="237"/>
      <c r="AJ14" s="237"/>
    </row>
    <row r="15" spans="2:36" ht="15" customHeight="1" thickTop="1" thickBot="1" x14ac:dyDescent="0.3">
      <c r="B15" s="32" t="s">
        <v>88</v>
      </c>
      <c r="C15" s="4"/>
      <c r="D15" s="793">
        <v>64</v>
      </c>
      <c r="E15" s="793"/>
      <c r="F15" s="5" t="s">
        <v>36</v>
      </c>
      <c r="H15" s="1"/>
      <c r="I15" s="16" t="s">
        <v>15</v>
      </c>
      <c r="J15" s="585">
        <f>V21</f>
        <v>-10</v>
      </c>
      <c r="K15" s="69">
        <f>U18</f>
        <v>46.5</v>
      </c>
      <c r="L15" s="72">
        <f>ROUND((J15*K15)/1000,5)</f>
        <v>-0.46500000000000002</v>
      </c>
      <c r="M15" s="11" t="s">
        <v>16</v>
      </c>
      <c r="P15" s="362"/>
      <c r="Q15" s="375" t="str">
        <f t="shared" si="1"/>
        <v>Ln15</v>
      </c>
      <c r="R15" s="391"/>
      <c r="S15" s="400" t="s">
        <v>193</v>
      </c>
      <c r="T15" s="391"/>
      <c r="U15" s="391"/>
      <c r="V15" s="392"/>
      <c r="W15" s="393" t="s">
        <v>177</v>
      </c>
      <c r="X15" s="357"/>
      <c r="Y15" s="396" t="s">
        <v>47</v>
      </c>
      <c r="Z15" s="388">
        <v>1800</v>
      </c>
      <c r="AC15" s="792"/>
      <c r="AD15" s="357"/>
      <c r="AH15" s="792"/>
      <c r="AI15" s="237"/>
      <c r="AJ15" s="237"/>
    </row>
    <row r="16" spans="2:36" ht="15" customHeight="1" thickTop="1" thickBot="1" x14ac:dyDescent="0.25">
      <c r="B16" s="32" t="s">
        <v>35</v>
      </c>
      <c r="C16" s="2"/>
      <c r="D16" s="794"/>
      <c r="E16" s="795"/>
      <c r="F16" s="5" t="s">
        <v>108</v>
      </c>
      <c r="H16" s="1"/>
      <c r="I16" s="17" t="s">
        <v>7</v>
      </c>
      <c r="J16" s="126">
        <f ca="1">IF(expired=TRUE,9999,SUM(J14:J15))</f>
        <v>2433.8000000000002</v>
      </c>
      <c r="K16" s="73" t="s">
        <v>5</v>
      </c>
      <c r="L16" s="74">
        <f>SUM(L14:L15)</f>
        <v>97.951840000000004</v>
      </c>
      <c r="M16" s="110" t="str">
        <f>"Max Gross: "&amp;TEXT(U8,"#,##0")&amp;"   Useful Load: "&amp;TEXT(U37,"#,##0")</f>
        <v>Max Gross: 3,100   Useful Load: 1,040</v>
      </c>
      <c r="P16" s="362"/>
      <c r="Q16" s="401"/>
      <c r="R16" s="401"/>
      <c r="S16" s="401"/>
      <c r="T16" s="401"/>
      <c r="U16" s="401"/>
      <c r="V16" s="401"/>
      <c r="W16" s="401"/>
      <c r="X16" s="357"/>
      <c r="Y16" s="402"/>
      <c r="Z16" s="395"/>
      <c r="AC16" s="403">
        <f>AC8</f>
        <v>3100</v>
      </c>
      <c r="AD16" s="357"/>
      <c r="AE16" s="404">
        <v>33</v>
      </c>
      <c r="AF16" s="82"/>
      <c r="AG16" s="82"/>
      <c r="AH16" s="405">
        <f>AH8</f>
        <v>46</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40.246462322294356</v>
      </c>
      <c r="L17" s="75" t="s">
        <v>5</v>
      </c>
      <c r="M17" s="12" t="s">
        <v>9</v>
      </c>
      <c r="P17" s="362"/>
      <c r="Q17" s="370" t="s">
        <v>158</v>
      </c>
      <c r="R17" s="371"/>
      <c r="S17" s="371"/>
      <c r="T17" s="406" t="s">
        <v>174</v>
      </c>
      <c r="U17" s="372" t="s">
        <v>2</v>
      </c>
      <c r="V17" s="372" t="s">
        <v>1</v>
      </c>
      <c r="W17" s="373" t="s">
        <v>179</v>
      </c>
      <c r="X17" s="357"/>
      <c r="Y17" s="407"/>
      <c r="Z17" s="408"/>
      <c r="AD17" s="357"/>
      <c r="AE17" s="409"/>
      <c r="AF17" s="797" t="s">
        <v>161</v>
      </c>
      <c r="AG17" s="797"/>
      <c r="AH17" s="410"/>
      <c r="AI17" s="237"/>
      <c r="AJ17" s="237"/>
    </row>
    <row r="18" spans="2:36" ht="15" customHeight="1" thickTop="1" thickBot="1" x14ac:dyDescent="0.25">
      <c r="B18" s="32" t="s">
        <v>139</v>
      </c>
      <c r="D18" s="798">
        <f>D16*D17</f>
        <v>0</v>
      </c>
      <c r="E18" s="799"/>
      <c r="F18" s="5" t="s">
        <v>36</v>
      </c>
      <c r="H18" s="1"/>
      <c r="I18" s="23" t="s">
        <v>23</v>
      </c>
      <c r="J18" s="25">
        <f>D18*6*-1</f>
        <v>0</v>
      </c>
      <c r="K18" s="25">
        <f>K8</f>
        <v>46.5</v>
      </c>
      <c r="L18" s="92">
        <f>ROUND((J18*K18)/1000,5)</f>
        <v>0</v>
      </c>
      <c r="M18" s="29" t="s">
        <v>73</v>
      </c>
      <c r="P18" s="362"/>
      <c r="Q18" s="375" t="str">
        <f t="shared" si="1"/>
        <v>Ln18</v>
      </c>
      <c r="R18" s="384" t="str">
        <f>IF(D15&gt;T18,"ERR","OK")</f>
        <v>OK</v>
      </c>
      <c r="S18" s="548" t="s">
        <v>239</v>
      </c>
      <c r="T18" s="411">
        <v>87</v>
      </c>
      <c r="U18" s="380">
        <v>46.5</v>
      </c>
      <c r="V18" s="412">
        <f>T18*6</f>
        <v>522</v>
      </c>
      <c r="W18" s="393" t="s">
        <v>176</v>
      </c>
      <c r="X18" s="357"/>
      <c r="Y18" s="357"/>
      <c r="Z18" s="357"/>
      <c r="AA18" s="357"/>
      <c r="AB18" s="357"/>
      <c r="AC18" s="357"/>
      <c r="AD18" s="357"/>
      <c r="AE18" s="357"/>
      <c r="AF18" s="357"/>
      <c r="AG18" s="357"/>
      <c r="AH18" s="35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587">
        <f ca="1">SUM(J16:J18)</f>
        <v>2433.8000000000002</v>
      </c>
      <c r="K19" s="93"/>
      <c r="L19" s="24">
        <f>SUM(L16:L18)</f>
        <v>97.951840000000004</v>
      </c>
      <c r="M19" s="29" t="str">
        <f>IF(U8=U10,"Landing Weight Limit same as Takeoff Weight","Max Landing Weight  "&amp;TEXT(U10,"#,##0"))</f>
        <v>Max Landing Weight  2,950</v>
      </c>
      <c r="P19" s="362"/>
      <c r="Q19" s="375" t="str">
        <f t="shared" si="1"/>
        <v>Ln19</v>
      </c>
      <c r="R19" s="391"/>
      <c r="S19" s="549" t="s">
        <v>240</v>
      </c>
      <c r="T19" s="411">
        <v>64</v>
      </c>
      <c r="U19" s="413"/>
      <c r="V19" s="412">
        <f>T19*6</f>
        <v>384</v>
      </c>
      <c r="W19" s="357"/>
      <c r="X19" s="357"/>
      <c r="Y19" s="357"/>
      <c r="Z19" s="357"/>
      <c r="AA19" s="414" t="str">
        <f ca="1">IF(AA20&gt;U8,"OUT","OK")</f>
        <v>OK</v>
      </c>
      <c r="AB19" s="415" t="s">
        <v>164</v>
      </c>
      <c r="AC19" s="357"/>
      <c r="AD19" s="357"/>
      <c r="AE19" s="414" t="str">
        <f ca="1">IF(AA19="out","out",IF(AND(AE20&gt;=AG20,AE20&lt;=AH20),"OK","OUT"))</f>
        <v>OK</v>
      </c>
      <c r="AF19" s="357"/>
      <c r="AG19" s="357"/>
      <c r="AH19" s="357"/>
      <c r="AI19" s="237"/>
      <c r="AJ19" s="237"/>
    </row>
    <row r="20" spans="2:36" ht="15" customHeight="1" thickTop="1" thickBot="1" x14ac:dyDescent="0.25">
      <c r="B20" s="135" t="s">
        <v>132</v>
      </c>
      <c r="I20" s="28" t="s">
        <v>8</v>
      </c>
      <c r="J20" s="94"/>
      <c r="K20" s="589">
        <f ca="1">(L19*1000)/J19</f>
        <v>40.246462322294356</v>
      </c>
      <c r="L20" s="588"/>
      <c r="M20" s="30" t="s">
        <v>65</v>
      </c>
      <c r="P20" s="362"/>
      <c r="Q20" s="375" t="str">
        <f t="shared" si="1"/>
        <v>Ln20</v>
      </c>
      <c r="R20" s="83" t="str">
        <f>IF(AND(T18=T19,LEFT(T20,1)="F"),"OK",IF(AND(T18&lt;&gt;T19,LEFT(T20,1)&lt;&gt;"F"),"OK","ERR"))</f>
        <v>OK</v>
      </c>
      <c r="S20" s="547" t="s">
        <v>188</v>
      </c>
      <c r="T20" s="546" t="s">
        <v>187</v>
      </c>
      <c r="U20" s="397" t="s">
        <v>190</v>
      </c>
      <c r="V20" s="412"/>
      <c r="W20" s="392"/>
      <c r="X20" s="357"/>
      <c r="Y20" s="416" t="s">
        <v>47</v>
      </c>
      <c r="Z20" s="417" t="s">
        <v>1</v>
      </c>
      <c r="AA20" s="418">
        <f ca="1">J16</f>
        <v>2433.8000000000002</v>
      </c>
      <c r="AB20" s="419"/>
      <c r="AC20" s="420"/>
      <c r="AD20" s="421" t="s">
        <v>40</v>
      </c>
      <c r="AE20" s="422">
        <f ca="1">K17</f>
        <v>40.246462322294356</v>
      </c>
      <c r="AF20" s="423" t="s">
        <v>61</v>
      </c>
      <c r="AG20" s="424">
        <f ca="1">VLOOKUP(AA20,Z23:AH26,8,TRUE)</f>
        <v>34.052334000000002</v>
      </c>
      <c r="AH20" s="425">
        <f ca="1">VLOOKUP(AA20,Z23:AH26,9,TRUE)</f>
        <v>46</v>
      </c>
      <c r="AI20" s="237"/>
      <c r="AJ20" s="237"/>
    </row>
    <row r="21" spans="2:36" ht="13.5" thickTop="1" x14ac:dyDescent="0.2">
      <c r="B21" s="770"/>
      <c r="C21" s="772" t="str">
        <f ca="1">IF(OR(AA19="out",AE19="out"),"CAUTION:   Wt or CG Out of Limits","")</f>
        <v/>
      </c>
      <c r="D21" s="772"/>
      <c r="E21" s="772"/>
      <c r="F21" s="773"/>
      <c r="P21" s="362"/>
      <c r="Q21" s="375" t="str">
        <f t="shared" si="1"/>
        <v>Ln21</v>
      </c>
      <c r="R21" s="391"/>
      <c r="S21" s="548" t="s">
        <v>191</v>
      </c>
      <c r="T21" s="411">
        <v>1.7</v>
      </c>
      <c r="U21" s="413"/>
      <c r="V21" s="412">
        <f>ROUND(T21*6,0)*-1</f>
        <v>-10</v>
      </c>
      <c r="W21" s="357"/>
      <c r="X21" s="357"/>
      <c r="Y21" s="426" t="s">
        <v>48</v>
      </c>
      <c r="Z21" s="427"/>
      <c r="AA21" s="428" t="s">
        <v>67</v>
      </c>
      <c r="AB21" s="429"/>
      <c r="AC21" s="430"/>
      <c r="AD21" s="427"/>
      <c r="AE21" s="431" t="s">
        <v>66</v>
      </c>
      <c r="AF21" s="427"/>
      <c r="AG21" s="432" t="s">
        <v>46</v>
      </c>
      <c r="AH21" s="433" t="s">
        <v>46</v>
      </c>
      <c r="AI21" s="237"/>
      <c r="AJ21" s="237"/>
    </row>
    <row r="22" spans="2:36" ht="13.5" thickBot="1" x14ac:dyDescent="0.25">
      <c r="B22" s="771"/>
      <c r="C22" s="774"/>
      <c r="D22" s="774"/>
      <c r="E22" s="774"/>
      <c r="F22" s="775"/>
      <c r="P22" s="358"/>
      <c r="Q22" s="357"/>
      <c r="R22" s="391"/>
      <c r="S22" s="550" t="s">
        <v>15</v>
      </c>
      <c r="T22" s="391"/>
      <c r="U22" s="392"/>
      <c r="V22" s="391"/>
      <c r="W22" s="393" t="s">
        <v>177</v>
      </c>
      <c r="X22" s="357"/>
      <c r="Y22" s="426" t="s">
        <v>49</v>
      </c>
      <c r="Z22" s="434" t="s">
        <v>41</v>
      </c>
      <c r="AA22" s="434" t="s">
        <v>42</v>
      </c>
      <c r="AB22" s="435" t="s">
        <v>43</v>
      </c>
      <c r="AC22" s="436" t="s">
        <v>41</v>
      </c>
      <c r="AD22" s="437" t="s">
        <v>42</v>
      </c>
      <c r="AE22" s="438" t="s">
        <v>44</v>
      </c>
      <c r="AF22" s="439" t="s">
        <v>45</v>
      </c>
      <c r="AG22" s="440" t="s">
        <v>68</v>
      </c>
      <c r="AH22" s="441" t="s">
        <v>69</v>
      </c>
      <c r="AI22" s="237"/>
      <c r="AJ22" s="237"/>
    </row>
    <row r="23" spans="2:36" ht="13.5" thickTop="1" x14ac:dyDescent="0.2">
      <c r="B23" s="34" t="str">
        <f>IF(AND(R52&lt;&gt;"OK",R48&lt;&gt;"OK"),"Enter Fuel on Board","")</f>
        <v/>
      </c>
      <c r="C23" s="776" t="str">
        <f>IF(R53&lt;&gt;"OK","Fuel &lt;1-HR Reserve","")</f>
        <v/>
      </c>
      <c r="D23" s="776"/>
      <c r="E23" s="776"/>
      <c r="F23" s="777"/>
      <c r="I23" s="10" t="s">
        <v>64</v>
      </c>
      <c r="P23" s="358"/>
      <c r="Q23" s="401"/>
      <c r="R23" s="391"/>
      <c r="S23" s="550" t="s">
        <v>23</v>
      </c>
      <c r="T23" s="391"/>
      <c r="U23" s="392"/>
      <c r="V23" s="391"/>
      <c r="W23" s="393" t="s">
        <v>177</v>
      </c>
      <c r="X23" s="357"/>
      <c r="Y23" s="426" t="s">
        <v>50</v>
      </c>
      <c r="Z23" s="442">
        <f>Z15</f>
        <v>1800</v>
      </c>
      <c r="AA23" s="443">
        <f>Z12</f>
        <v>2240</v>
      </c>
      <c r="AB23" s="444">
        <f>+AA23-Z23</f>
        <v>440</v>
      </c>
      <c r="AC23" s="445">
        <f>AE16</f>
        <v>33</v>
      </c>
      <c r="AD23" s="446">
        <f>AE12</f>
        <v>33</v>
      </c>
      <c r="AE23" s="447">
        <f>AD23-AC23</f>
        <v>0</v>
      </c>
      <c r="AF23" s="448">
        <f>IF(OR(AB23=0,AE23=0),0,ROUND(AE23/AB23,5))</f>
        <v>0</v>
      </c>
      <c r="AG23" s="449">
        <f ca="1">IF(AND(AA20&gt;=Z23,AA20&lt;AA23),AC23+((AA20-Z23)*AF23),AC23)</f>
        <v>33</v>
      </c>
      <c r="AH23" s="450">
        <f>AD26</f>
        <v>46</v>
      </c>
      <c r="AI23" s="237"/>
      <c r="AJ23" s="237"/>
    </row>
    <row r="24" spans="2:36" ht="12.75" customHeight="1" x14ac:dyDescent="0.2">
      <c r="B24" s="77" t="str">
        <f>IF(AND(R52&lt;&gt;"OK",R49&lt;&gt;"OK"),"Enter GPH Usage","")</f>
        <v/>
      </c>
      <c r="C24" s="778" t="str">
        <f>IF(OR(R18&lt;&gt;"OK",R51&lt;&gt;"OK"),"Fueling Error","")</f>
        <v/>
      </c>
      <c r="D24" s="778"/>
      <c r="E24" s="778"/>
      <c r="F24" s="779"/>
      <c r="I24" s="9" t="s">
        <v>62</v>
      </c>
      <c r="P24" s="358"/>
      <c r="Q24" s="401"/>
      <c r="R24" s="401"/>
      <c r="S24" s="401"/>
      <c r="T24" s="401"/>
      <c r="U24" s="401"/>
      <c r="V24" s="401"/>
      <c r="W24" s="401"/>
      <c r="X24" s="357"/>
      <c r="Y24" s="426" t="s">
        <v>51</v>
      </c>
      <c r="Z24" s="451">
        <f>AA23</f>
        <v>2240</v>
      </c>
      <c r="AA24" s="452">
        <f>Z10</f>
        <v>2700</v>
      </c>
      <c r="AB24" s="453">
        <f>+AA24-Z24</f>
        <v>460</v>
      </c>
      <c r="AC24" s="454">
        <f>IF(AD24=AD23,AC23,AD23)</f>
        <v>33</v>
      </c>
      <c r="AD24" s="455">
        <f>AE10</f>
        <v>35.5</v>
      </c>
      <c r="AE24" s="447">
        <f>AD24-AC24</f>
        <v>2.5</v>
      </c>
      <c r="AF24" s="448">
        <f>IF(OR(AB24=0,AE24=0),0,ROUND(AE24/AB24,5))</f>
        <v>5.4299999999999999E-3</v>
      </c>
      <c r="AG24" s="449">
        <f ca="1">IF(AND(AA20&gt;=Z24,AA20&lt;AA24),AC24+((AA20-Z24)*AF24),AC24)</f>
        <v>34.052334000000002</v>
      </c>
      <c r="AH24" s="213">
        <f>AH23</f>
        <v>46</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358"/>
      <c r="Q25" s="370" t="s">
        <v>159</v>
      </c>
      <c r="R25" s="371"/>
      <c r="S25" s="371"/>
      <c r="T25" s="371"/>
      <c r="U25" s="372" t="s">
        <v>2</v>
      </c>
      <c r="V25" s="372" t="s">
        <v>1</v>
      </c>
      <c r="W25" s="373" t="s">
        <v>179</v>
      </c>
      <c r="X25" s="357"/>
      <c r="Y25" s="426" t="s">
        <v>52</v>
      </c>
      <c r="Z25" s="451">
        <f>AA24</f>
        <v>2700</v>
      </c>
      <c r="AA25" s="452">
        <f>AA8</f>
        <v>3100</v>
      </c>
      <c r="AB25" s="453">
        <f>+AA25-Z25</f>
        <v>400</v>
      </c>
      <c r="AC25" s="454">
        <f>IF(AD25=AD24,AC24,AD24)</f>
        <v>35.5</v>
      </c>
      <c r="AD25" s="455">
        <f>AF8</f>
        <v>40.9</v>
      </c>
      <c r="AE25" s="447">
        <f>AD25-AC25</f>
        <v>5.3999999999999986</v>
      </c>
      <c r="AF25" s="448">
        <f>IF(OR(AB25=0,AE25=0),0,ROUND(AE25/AB25,5))</f>
        <v>1.35E-2</v>
      </c>
      <c r="AG25" s="449">
        <f ca="1">IF(AND(AA20&gt;=Z25,AA20&lt;AA25),AC25+((AA20-Z25)*AF25),AC25)</f>
        <v>35.5</v>
      </c>
      <c r="AH25" s="213">
        <f>AH24</f>
        <v>46</v>
      </c>
      <c r="AI25" s="237"/>
      <c r="AJ25" s="237"/>
    </row>
    <row r="26" spans="2:36" ht="13.5" thickTop="1" x14ac:dyDescent="0.2">
      <c r="I26" s="8" t="str">
        <f>"R Front:  "&amp;IF(E7=0,"---",E7&amp;"#")</f>
        <v>R Front:  ---</v>
      </c>
      <c r="P26" s="358"/>
      <c r="Q26" s="375" t="str">
        <f t="shared" si="1"/>
        <v>Ln26</v>
      </c>
      <c r="R26" s="391"/>
      <c r="S26" s="456" t="s">
        <v>11</v>
      </c>
      <c r="T26" s="378"/>
      <c r="U26" s="380">
        <v>37</v>
      </c>
      <c r="V26" s="412">
        <f>C7+E7</f>
        <v>0</v>
      </c>
      <c r="W26" s="457"/>
      <c r="X26" s="357"/>
      <c r="Y26" s="458" t="s">
        <v>52</v>
      </c>
      <c r="Z26" s="459">
        <f>AA25</f>
        <v>3100</v>
      </c>
      <c r="AA26" s="460">
        <f>AC8</f>
        <v>3100</v>
      </c>
      <c r="AB26" s="461">
        <f>+AA26-Z26</f>
        <v>0</v>
      </c>
      <c r="AC26" s="462">
        <f>IF(AD26=AD25,AC25,AD25)</f>
        <v>40.9</v>
      </c>
      <c r="AD26" s="463">
        <f>AH8</f>
        <v>46</v>
      </c>
      <c r="AE26" s="464">
        <f>AD26-AC26</f>
        <v>5.1000000000000014</v>
      </c>
      <c r="AF26" s="465">
        <f>IF(OR(AB26=0,AE26=0),0,ROUND(AE26/AB26,5))</f>
        <v>0</v>
      </c>
      <c r="AG26" s="466">
        <f ca="1">IF(AND(AA20&gt;=Z26,AA20&lt;AA26),AC26+((AA20-Z26)*AF26),AC26)</f>
        <v>40.9</v>
      </c>
      <c r="AH26" s="217">
        <f>AH25</f>
        <v>46</v>
      </c>
      <c r="AI26" s="237"/>
      <c r="AJ26" s="237"/>
    </row>
    <row r="27" spans="2:36" ht="12.75" customHeight="1" x14ac:dyDescent="0.2">
      <c r="B27" s="60" t="s">
        <v>79</v>
      </c>
      <c r="H27" s="1"/>
      <c r="I27" s="8" t="str">
        <f>"L  Rear:  "&amp;IF(C9=0,"---",C9&amp;"#")</f>
        <v>L  Rear:  ---</v>
      </c>
      <c r="P27" s="358"/>
      <c r="Q27" s="375" t="str">
        <f t="shared" si="1"/>
        <v>Ln27</v>
      </c>
      <c r="R27" s="391"/>
      <c r="S27" s="456" t="s">
        <v>12</v>
      </c>
      <c r="T27" s="378"/>
      <c r="U27" s="380">
        <v>74</v>
      </c>
      <c r="V27" s="412">
        <f>C9+E9</f>
        <v>0</v>
      </c>
      <c r="W27" s="457"/>
      <c r="X27" s="357"/>
      <c r="Y27" s="357"/>
      <c r="Z27" s="357"/>
      <c r="AA27" s="357"/>
      <c r="AB27" s="357"/>
      <c r="AC27" s="357"/>
      <c r="AD27" s="357"/>
      <c r="AE27" s="357"/>
      <c r="AF27" s="357"/>
      <c r="AG27" s="357"/>
      <c r="AH27" s="357"/>
      <c r="AI27" s="237"/>
      <c r="AJ27" s="237"/>
    </row>
    <row r="28" spans="2:36" ht="13.5" thickBot="1" x14ac:dyDescent="0.25">
      <c r="B28" s="22" t="s">
        <v>127</v>
      </c>
      <c r="D28" s="782">
        <f>U37+(J15*-1)</f>
        <v>1050</v>
      </c>
      <c r="E28" s="783"/>
      <c r="F28" s="784" t="str">
        <f>"( "&amp;TEXT(U37,"#,##0")&amp;"+"&amp;J15*-1&amp;" )"</f>
        <v>( 1,040+10 )</v>
      </c>
      <c r="G28" s="785"/>
      <c r="H28" s="785"/>
      <c r="I28" s="8" t="str">
        <f>"R  Rear:  "&amp;IF(E9=0,"---",E9&amp;"#")</f>
        <v>R  Rear:  ---</v>
      </c>
      <c r="P28" s="358"/>
      <c r="Q28" s="357"/>
      <c r="R28" s="357"/>
      <c r="S28" s="357"/>
      <c r="T28" s="357"/>
      <c r="U28" s="413"/>
      <c r="V28" s="413"/>
      <c r="W28" s="357"/>
      <c r="X28" s="357"/>
      <c r="Y28" s="357"/>
      <c r="Z28" s="357"/>
      <c r="AA28" s="357"/>
      <c r="AB28" s="357"/>
      <c r="AC28" s="357"/>
      <c r="AD28" s="357"/>
      <c r="AE28" s="357"/>
      <c r="AF28" s="357"/>
      <c r="AG28" s="357"/>
      <c r="AH28" s="357"/>
      <c r="AI28" s="237"/>
      <c r="AJ28" s="237"/>
    </row>
    <row r="29" spans="2:36" ht="13.5" thickBot="1" x14ac:dyDescent="0.25">
      <c r="B29" s="22" t="s">
        <v>126</v>
      </c>
      <c r="D29" s="786">
        <f>SUM(J8:J13)</f>
        <v>384</v>
      </c>
      <c r="E29" s="787"/>
      <c r="I29" s="8" t="str">
        <f>"Bag 1:  "&amp;IF(C11=0,"---",C11&amp;"#")</f>
        <v>Bag 1:  ---</v>
      </c>
      <c r="P29" s="358"/>
      <c r="Q29" s="375" t="str">
        <f t="shared" si="1"/>
        <v>Ln29</v>
      </c>
      <c r="R29" s="467" t="str">
        <f>IF(C11&gt;V29,"ERR","OK")</f>
        <v>OK</v>
      </c>
      <c r="S29" s="456" t="s">
        <v>25</v>
      </c>
      <c r="T29" s="512">
        <f>C11</f>
        <v>0</v>
      </c>
      <c r="U29" s="380">
        <v>97</v>
      </c>
      <c r="V29" s="468">
        <v>120</v>
      </c>
      <c r="W29" s="393" t="s">
        <v>176</v>
      </c>
      <c r="X29" s="357"/>
      <c r="Y29" s="357"/>
      <c r="Z29" s="357"/>
      <c r="AA29" s="357"/>
      <c r="AB29" s="357"/>
      <c r="AC29" s="357"/>
      <c r="AD29" s="357"/>
      <c r="AE29" s="357"/>
      <c r="AF29" s="357"/>
      <c r="AG29" s="357"/>
      <c r="AH29" s="357"/>
      <c r="AI29" s="237"/>
      <c r="AJ29" s="237"/>
    </row>
    <row r="30" spans="2:36" ht="15.75" x14ac:dyDescent="0.3">
      <c r="B30" s="22" t="str">
        <f>IF(D29&lt;=D28,"Lbs before overweight","OVERWEIGHT")</f>
        <v>Lbs before overweight</v>
      </c>
      <c r="D30" s="788">
        <f>ABS(D28-D29)</f>
        <v>666</v>
      </c>
      <c r="E30" s="789"/>
      <c r="F30" s="790" t="str">
        <f>IF(D29&gt;D28,"# Over","")</f>
        <v/>
      </c>
      <c r="G30" s="791"/>
      <c r="H30" s="791"/>
      <c r="I30" s="8" t="str">
        <f>"Bag 2:  "&amp;IF(C12=0,"---",C12&amp;"#")</f>
        <v>Bag 2:  ---</v>
      </c>
      <c r="P30" s="358"/>
      <c r="Q30" s="375" t="str">
        <f t="shared" si="1"/>
        <v>Ln30</v>
      </c>
      <c r="R30" s="467" t="str">
        <f>IF(C12&gt;V30,"ERR","OK")</f>
        <v>OK</v>
      </c>
      <c r="S30" s="456" t="s">
        <v>26</v>
      </c>
      <c r="T30" s="512">
        <f>C12</f>
        <v>0</v>
      </c>
      <c r="U30" s="380">
        <v>116</v>
      </c>
      <c r="V30" s="468">
        <v>80</v>
      </c>
      <c r="W30" s="393" t="s">
        <v>176</v>
      </c>
      <c r="X30" s="357"/>
      <c r="Y30" s="357"/>
      <c r="Z30" s="472"/>
      <c r="AA30" s="473"/>
      <c r="AB30" s="474" t="s">
        <v>165</v>
      </c>
      <c r="AC30" s="371"/>
      <c r="AD30" s="371"/>
      <c r="AE30" s="371"/>
      <c r="AF30" s="371"/>
      <c r="AG30" s="371"/>
      <c r="AH30" s="357"/>
      <c r="AI30" s="237"/>
      <c r="AJ30" s="237"/>
    </row>
    <row r="31" spans="2:36" ht="15.75" thickBot="1" x14ac:dyDescent="0.3">
      <c r="P31" s="358"/>
      <c r="Q31" s="375" t="str">
        <f t="shared" si="1"/>
        <v>Ln31</v>
      </c>
      <c r="R31" s="511" t="str">
        <f>IF(D13&gt;V31,"ERR","OK")</f>
        <v>OK</v>
      </c>
      <c r="S31" s="509" t="s">
        <v>28</v>
      </c>
      <c r="T31" s="512">
        <f>D13</f>
        <v>0</v>
      </c>
      <c r="U31" s="380">
        <v>129</v>
      </c>
      <c r="V31" s="468">
        <v>80</v>
      </c>
      <c r="W31" s="393" t="s">
        <v>176</v>
      </c>
      <c r="X31" s="357"/>
      <c r="Y31" s="357"/>
      <c r="Z31" s="357"/>
      <c r="AA31" s="357"/>
      <c r="AB31" s="357"/>
      <c r="AC31" s="382" t="s">
        <v>162</v>
      </c>
      <c r="AD31" s="357"/>
      <c r="AE31" s="357"/>
      <c r="AF31" s="357"/>
      <c r="AG31" s="473"/>
      <c r="AH31" s="357"/>
      <c r="AI31" s="237"/>
      <c r="AJ31" s="237"/>
    </row>
    <row r="32" spans="2:36" ht="13.5" thickTop="1" x14ac:dyDescent="0.2">
      <c r="B32" s="685"/>
      <c r="I32" s="8"/>
      <c r="P32" s="358"/>
      <c r="Q32" s="375" t="str">
        <f t="shared" si="1"/>
        <v>Ln32</v>
      </c>
      <c r="R32" s="511" t="str">
        <f>IF(C11+C12+D13&gt;V32,"ERR","OK")</f>
        <v>OK</v>
      </c>
      <c r="S32" s="510" t="s">
        <v>29</v>
      </c>
      <c r="T32" s="512">
        <f>SUM(C11,C12,D13)</f>
        <v>0</v>
      </c>
      <c r="U32" s="471"/>
      <c r="V32" s="468">
        <v>200</v>
      </c>
      <c r="W32" s="357"/>
      <c r="X32" s="357"/>
      <c r="Y32" s="476"/>
      <c r="Z32" s="477"/>
      <c r="AA32" s="478">
        <v>2950</v>
      </c>
      <c r="AC32" s="403">
        <f>AA32</f>
        <v>2950</v>
      </c>
      <c r="AD32" s="357"/>
      <c r="AF32" s="479">
        <v>41</v>
      </c>
      <c r="AH32" s="390">
        <v>46</v>
      </c>
      <c r="AI32" s="237"/>
      <c r="AJ32" s="237"/>
    </row>
    <row r="33" spans="2:36" x14ac:dyDescent="0.2">
      <c r="B33" s="685"/>
      <c r="I33" s="9" t="s">
        <v>63</v>
      </c>
      <c r="P33" s="358"/>
      <c r="Q33" s="375" t="str">
        <f t="shared" si="1"/>
        <v>Ln33</v>
      </c>
      <c r="R33" s="511" t="str">
        <f>IF(C11+C12&gt;V33,"ERR","OK")</f>
        <v>OK</v>
      </c>
      <c r="S33" s="470" t="s">
        <v>30</v>
      </c>
      <c r="T33" s="512"/>
      <c r="U33" s="471"/>
      <c r="V33" s="468">
        <v>200</v>
      </c>
      <c r="W33" s="357"/>
      <c r="X33" s="357"/>
      <c r="Y33" s="480"/>
      <c r="Z33" s="82"/>
      <c r="AD33" s="357"/>
      <c r="AI33" s="237"/>
      <c r="AJ33" s="237"/>
    </row>
    <row r="34" spans="2:36" ht="13.5" x14ac:dyDescent="0.25">
      <c r="B34" s="685"/>
      <c r="I34" s="10" t="str">
        <f>"Start:  "&amp;TEXT(D15,("###.0"))&amp;" USG"</f>
        <v>Start:  64.0 USG</v>
      </c>
      <c r="P34" s="358"/>
      <c r="Q34" s="375" t="str">
        <f t="shared" si="1"/>
        <v>Ln34</v>
      </c>
      <c r="R34" s="511" t="str">
        <f>IF(C12+D13&gt;V34,"ERR","OK")</f>
        <v>OK</v>
      </c>
      <c r="S34" s="510" t="s">
        <v>71</v>
      </c>
      <c r="T34" s="512"/>
      <c r="U34" s="471"/>
      <c r="V34" s="468">
        <v>80</v>
      </c>
      <c r="W34" s="357"/>
      <c r="X34" s="357"/>
      <c r="Y34" s="481" t="s">
        <v>155</v>
      </c>
      <c r="Z34" s="478">
        <v>2700</v>
      </c>
      <c r="AD34" s="357"/>
      <c r="AE34" s="483">
        <v>35.700000000000003</v>
      </c>
      <c r="AI34" s="237"/>
      <c r="AJ34" s="237"/>
    </row>
    <row r="35" spans="2:36" ht="13.5" x14ac:dyDescent="0.25">
      <c r="B35" s="686"/>
      <c r="I35" s="10" t="str">
        <f>"Used:    "&amp;TEXT(D18,("###.0"))&amp;" USG"</f>
        <v>Used:    .0 USG</v>
      </c>
      <c r="P35" s="358"/>
      <c r="Q35" s="357"/>
      <c r="R35" s="357"/>
      <c r="S35" s="357"/>
      <c r="T35" s="357"/>
      <c r="U35" s="357"/>
      <c r="V35" s="357"/>
      <c r="W35" s="357"/>
      <c r="X35" s="357"/>
      <c r="Y35" s="481" t="s">
        <v>50</v>
      </c>
      <c r="Z35" s="82"/>
      <c r="AA35" s="766" t="s">
        <v>1</v>
      </c>
      <c r="AB35" s="766"/>
      <c r="AD35" s="357"/>
      <c r="AF35" s="766" t="s">
        <v>154</v>
      </c>
      <c r="AG35" s="766"/>
      <c r="AI35" s="237"/>
      <c r="AJ35" s="237"/>
    </row>
    <row r="36" spans="2:36" ht="13.5" x14ac:dyDescent="0.25">
      <c r="I36" s="10" t="str">
        <f>"Reserve:  "&amp;TEXT(D15-D18,"###.0")&amp;" USG"</f>
        <v>Reserve:  64.0 USG</v>
      </c>
      <c r="P36" s="358"/>
      <c r="Q36" s="370" t="s">
        <v>160</v>
      </c>
      <c r="R36" s="371"/>
      <c r="S36" s="371"/>
      <c r="T36" s="371"/>
      <c r="U36" s="482" t="s">
        <v>1</v>
      </c>
      <c r="V36" s="357"/>
      <c r="W36" s="357"/>
      <c r="X36" s="357"/>
      <c r="Y36" s="481" t="s">
        <v>56</v>
      </c>
      <c r="Z36" s="478">
        <v>2240</v>
      </c>
      <c r="AA36" s="766" t="s">
        <v>153</v>
      </c>
      <c r="AB36" s="766"/>
      <c r="AD36" s="357"/>
      <c r="AE36" s="628">
        <f>AE40</f>
        <v>33</v>
      </c>
      <c r="AF36" s="766" t="s">
        <v>153</v>
      </c>
      <c r="AG36" s="766"/>
      <c r="AI36" s="237"/>
      <c r="AJ36" s="237"/>
    </row>
    <row r="37" spans="2:36" ht="13.5" x14ac:dyDescent="0.25">
      <c r="P37" s="358"/>
      <c r="Q37" s="375" t="str">
        <f t="shared" ref="Q37:Q39" si="2">"Ln"&amp;ROW()</f>
        <v>Ln37</v>
      </c>
      <c r="R37" s="484"/>
      <c r="S37" s="400" t="s">
        <v>77</v>
      </c>
      <c r="T37" s="485"/>
      <c r="U37" s="486">
        <f>ROUNDDOWN(U8-U7,0)</f>
        <v>1040</v>
      </c>
      <c r="V37" s="357"/>
      <c r="W37" s="357"/>
      <c r="X37" s="357"/>
      <c r="Y37" s="481" t="s">
        <v>57</v>
      </c>
      <c r="Z37" s="82"/>
      <c r="AC37" s="767" t="s">
        <v>157</v>
      </c>
      <c r="AD37" s="357"/>
      <c r="AH37" s="767" t="s">
        <v>157</v>
      </c>
      <c r="AI37" s="237"/>
      <c r="AJ37" s="237"/>
    </row>
    <row r="38" spans="2:36" ht="13.5" x14ac:dyDescent="0.25">
      <c r="I38" s="9" t="s">
        <v>72</v>
      </c>
      <c r="P38" s="358"/>
      <c r="Q38" s="375" t="str">
        <f t="shared" si="2"/>
        <v>Ln38</v>
      </c>
      <c r="R38" s="484"/>
      <c r="S38" s="400" t="s">
        <v>76</v>
      </c>
      <c r="T38" s="485"/>
      <c r="U38" s="486">
        <f>IF(T19=0,"",U37-V19)</f>
        <v>656</v>
      </c>
      <c r="V38" s="357"/>
      <c r="W38" s="357"/>
      <c r="X38" s="357"/>
      <c r="Y38" s="481" t="s">
        <v>156</v>
      </c>
      <c r="Z38" s="82"/>
      <c r="AC38" s="767"/>
      <c r="AD38" s="357"/>
      <c r="AH38" s="767"/>
      <c r="AI38" s="237"/>
      <c r="AJ38" s="237"/>
    </row>
    <row r="39" spans="2:36" ht="13.5" x14ac:dyDescent="0.25">
      <c r="H39" s="7"/>
      <c r="I39" s="63" t="str">
        <f>IF(T42="","","Max Flight (NO Res)")</f>
        <v/>
      </c>
      <c r="P39" s="358"/>
      <c r="Q39" s="375" t="str">
        <f t="shared" si="2"/>
        <v>Ln39</v>
      </c>
      <c r="R39" s="484"/>
      <c r="S39" s="400" t="s">
        <v>78</v>
      </c>
      <c r="T39" s="487"/>
      <c r="U39" s="486">
        <f>U37-V18</f>
        <v>518</v>
      </c>
      <c r="V39" s="357"/>
      <c r="W39" s="357"/>
      <c r="X39" s="357"/>
      <c r="Y39" s="481" t="s">
        <v>47</v>
      </c>
      <c r="Z39" s="82"/>
      <c r="AC39" s="768"/>
      <c r="AD39" s="357"/>
      <c r="AH39" s="768"/>
      <c r="AI39" s="237"/>
      <c r="AJ39" s="237"/>
    </row>
    <row r="40" spans="2:36" x14ac:dyDescent="0.2">
      <c r="H40" s="7"/>
      <c r="I40" s="21" t="str">
        <f>IF(T42="","","~"&amp;TEXT(T42,("##.0"))&amp;" hrs")</f>
        <v/>
      </c>
      <c r="P40" s="358"/>
      <c r="Q40" s="357"/>
      <c r="R40" s="357"/>
      <c r="S40" s="357"/>
      <c r="T40" s="413"/>
      <c r="U40" s="413"/>
      <c r="V40" s="357"/>
      <c r="W40" s="357"/>
      <c r="X40" s="357"/>
      <c r="Y40" s="480"/>
      <c r="Z40" s="478">
        <v>1800</v>
      </c>
      <c r="AC40" s="403">
        <f>AC32</f>
        <v>2950</v>
      </c>
      <c r="AD40" s="357"/>
      <c r="AE40" s="489">
        <v>33</v>
      </c>
      <c r="AF40" s="82"/>
      <c r="AG40" s="82"/>
      <c r="AH40" s="490">
        <f>AH32</f>
        <v>46</v>
      </c>
      <c r="AI40" s="242"/>
      <c r="AJ40" s="242"/>
    </row>
    <row r="41" spans="2:36" ht="14.25" thickBot="1" x14ac:dyDescent="0.3">
      <c r="I41" s="61" t="str">
        <f>IF(T42="","","@ "&amp;TEXT(D16,"##.0")&amp;" GPH")</f>
        <v/>
      </c>
      <c r="P41" s="358"/>
      <c r="Q41" s="370" t="s">
        <v>119</v>
      </c>
      <c r="R41" s="371"/>
      <c r="S41" s="482"/>
      <c r="T41" s="488" t="s">
        <v>121</v>
      </c>
      <c r="U41" s="413"/>
      <c r="V41" s="357"/>
      <c r="W41" s="357"/>
      <c r="X41" s="357"/>
      <c r="Y41" s="494"/>
      <c r="Z41" s="495"/>
      <c r="AD41" s="357"/>
      <c r="AE41" s="496"/>
      <c r="AF41" s="769" t="s">
        <v>161</v>
      </c>
      <c r="AG41" s="769"/>
      <c r="AH41" s="497"/>
      <c r="AI41" s="237"/>
      <c r="AJ41" s="237"/>
    </row>
    <row r="42" spans="2:36" ht="13.5" thickTop="1" x14ac:dyDescent="0.2">
      <c r="I42" s="65" t="str">
        <f>IF(R52&lt;&gt;"OK","","  At end of ")</f>
        <v/>
      </c>
      <c r="P42" s="358"/>
      <c r="Q42" s="375" t="str">
        <f t="shared" ref="Q42:Q43" si="3">"Ln"&amp;ROW()</f>
        <v>Ln42</v>
      </c>
      <c r="R42" s="491" t="s">
        <v>91</v>
      </c>
      <c r="S42" s="492"/>
      <c r="T42" s="493" t="str">
        <f>IF(AND(D15&gt;0,D18&gt;0),ROUND(D15/D16,3),"")</f>
        <v/>
      </c>
      <c r="U42" s="413"/>
      <c r="V42" s="357"/>
      <c r="W42" s="357"/>
      <c r="X42" s="357"/>
      <c r="Y42" s="357"/>
      <c r="Z42" s="357"/>
      <c r="AA42" s="357"/>
      <c r="AB42" s="357"/>
      <c r="AC42" s="357"/>
      <c r="AD42" s="357"/>
      <c r="AE42" s="357"/>
      <c r="AF42" s="357"/>
      <c r="AG42" s="357"/>
      <c r="AH42" s="357"/>
      <c r="AI42" s="237"/>
      <c r="AJ42" s="237"/>
    </row>
    <row r="43" spans="2:36" ht="13.5" thickBot="1" x14ac:dyDescent="0.25">
      <c r="I43" s="66" t="str">
        <f>IF(R52&lt;&gt;"OK","",TEXT(D17,"##.0")&amp;" Hr Trip . . ")</f>
        <v/>
      </c>
      <c r="P43" s="358"/>
      <c r="Q43" s="375" t="str">
        <f t="shared" si="3"/>
        <v>Ln43</v>
      </c>
      <c r="R43" s="491" t="s">
        <v>95</v>
      </c>
      <c r="S43" s="492"/>
      <c r="T43" s="493" t="str">
        <f>IF(AND(D15&gt;0,D16&gt;0,D18&gt;0),ROUND((D15-D18)/D16,3),"")</f>
        <v/>
      </c>
      <c r="U43" s="413"/>
      <c r="V43" s="357"/>
      <c r="W43" s="357"/>
      <c r="X43" s="357"/>
      <c r="Y43" s="357"/>
      <c r="Z43" s="357"/>
      <c r="AA43" s="498" t="str">
        <f ca="1">IF(U8=U10,"OK",IF(AA44&gt;U10,"OUT","OK"))</f>
        <v>OK</v>
      </c>
      <c r="AB43" s="415" t="s">
        <v>164</v>
      </c>
      <c r="AC43" s="357"/>
      <c r="AD43" s="357"/>
      <c r="AE43" s="498" t="str">
        <f ca="1">IF(U8=U10,"OK",IF(AND(AE44&gt;=AG44,AE44&lt;=AH44),"OK","OUT"))</f>
        <v>OK</v>
      </c>
      <c r="AF43" s="357"/>
      <c r="AG43" s="357"/>
      <c r="AH43" s="357"/>
      <c r="AI43" s="237"/>
      <c r="AJ43" s="237"/>
    </row>
    <row r="44" spans="2:36" ht="14.25" thickTop="1" thickBot="1" x14ac:dyDescent="0.25">
      <c r="I44" s="62" t="str">
        <f>IF(R52&lt;&gt;"OK","","Reserve is ~ "&amp;TEXT(T43,"##.0")&amp;" Hrs")</f>
        <v/>
      </c>
      <c r="P44" s="358"/>
      <c r="Q44" s="357"/>
      <c r="R44" s="357"/>
      <c r="S44" s="357"/>
      <c r="T44" s="357"/>
      <c r="U44" s="357"/>
      <c r="V44" s="357"/>
      <c r="W44" s="357"/>
      <c r="X44" s="357"/>
      <c r="Y44" s="416" t="s">
        <v>53</v>
      </c>
      <c r="Z44" s="417" t="s">
        <v>1</v>
      </c>
      <c r="AA44" s="499">
        <f ca="1">J19</f>
        <v>2433.8000000000002</v>
      </c>
      <c r="AB44" s="419"/>
      <c r="AC44" s="420"/>
      <c r="AD44" s="500" t="s">
        <v>40</v>
      </c>
      <c r="AE44" s="499">
        <f ca="1">K20</f>
        <v>40.246462322294356</v>
      </c>
      <c r="AF44" s="423" t="s">
        <v>61</v>
      </c>
      <c r="AG44" s="501">
        <f ca="1">VLOOKUP(AA44,Z47:AH50,8)</f>
        <v>34.137605999999998</v>
      </c>
      <c r="AH44" s="502">
        <f ca="1">VLOOKUP(AA44,Z47:AH50,9)</f>
        <v>46</v>
      </c>
      <c r="AI44" s="237"/>
      <c r="AJ44" s="237"/>
    </row>
    <row r="45" spans="2:36" ht="13.5" thickTop="1" x14ac:dyDescent="0.2">
      <c r="I45" s="64" t="str">
        <f>IF(R52&lt;&gt;"OK","",IF(R53&lt;&gt;"OK","Caution: &lt; 1 HR",""))</f>
        <v/>
      </c>
      <c r="P45" s="358"/>
      <c r="Q45" s="370" t="s">
        <v>175</v>
      </c>
      <c r="R45" s="371"/>
      <c r="S45" s="482"/>
      <c r="T45" s="482"/>
      <c r="U45" s="357"/>
      <c r="V45" s="357"/>
      <c r="W45" s="357"/>
      <c r="X45" s="357"/>
      <c r="Y45" s="426" t="s">
        <v>48</v>
      </c>
      <c r="Z45" s="427"/>
      <c r="AA45" s="428" t="s">
        <v>67</v>
      </c>
      <c r="AB45" s="429"/>
      <c r="AC45" s="430"/>
      <c r="AD45" s="427"/>
      <c r="AE45" s="431" t="s">
        <v>66</v>
      </c>
      <c r="AF45" s="427"/>
      <c r="AG45" s="432" t="s">
        <v>46</v>
      </c>
      <c r="AH45" s="433" t="s">
        <v>46</v>
      </c>
      <c r="AI45" s="237"/>
      <c r="AJ45" s="237"/>
    </row>
    <row r="46" spans="2:36" ht="13.5" thickBot="1" x14ac:dyDescent="0.25">
      <c r="P46" s="358"/>
      <c r="Q46" s="375" t="str">
        <f t="shared" ref="Q46:Q53" si="4">"Ln"&amp;ROW()</f>
        <v>Ln46</v>
      </c>
      <c r="R46" s="503" t="str">
        <f>IF(AND(C7="",(E7+C9+E9)&gt;0),"WARN","OK")</f>
        <v>OK</v>
      </c>
      <c r="S46" s="504" t="s">
        <v>89</v>
      </c>
      <c r="T46" s="505"/>
      <c r="U46" s="357"/>
      <c r="V46" s="357"/>
      <c r="W46" s="357"/>
      <c r="X46" s="357"/>
      <c r="Y46" s="426" t="s">
        <v>54</v>
      </c>
      <c r="Z46" s="434" t="s">
        <v>41</v>
      </c>
      <c r="AA46" s="434" t="s">
        <v>42</v>
      </c>
      <c r="AB46" s="435" t="s">
        <v>43</v>
      </c>
      <c r="AC46" s="436" t="s">
        <v>41</v>
      </c>
      <c r="AD46" s="437" t="s">
        <v>42</v>
      </c>
      <c r="AE46" s="438" t="s">
        <v>44</v>
      </c>
      <c r="AF46" s="439" t="s">
        <v>45</v>
      </c>
      <c r="AG46" s="440" t="s">
        <v>68</v>
      </c>
      <c r="AH46" s="441" t="s">
        <v>69</v>
      </c>
      <c r="AI46" s="237"/>
      <c r="AJ46" s="237"/>
    </row>
    <row r="47" spans="2:36" ht="13.5" thickTop="1" x14ac:dyDescent="0.2">
      <c r="P47" s="358"/>
      <c r="Q47" s="375" t="str">
        <f t="shared" si="4"/>
        <v>Ln47</v>
      </c>
      <c r="R47" s="503" t="str">
        <f>IF(C7+E7+C9+E9&gt;0,"INFO","OK")</f>
        <v>OK</v>
      </c>
      <c r="S47" s="504" t="s">
        <v>92</v>
      </c>
      <c r="T47" s="505"/>
      <c r="U47" s="357"/>
      <c r="V47" s="357"/>
      <c r="W47" s="357"/>
      <c r="X47" s="357"/>
      <c r="Y47" s="426" t="s">
        <v>55</v>
      </c>
      <c r="Z47" s="442">
        <f>Z40</f>
        <v>1800</v>
      </c>
      <c r="AA47" s="443">
        <f>Z36</f>
        <v>2240</v>
      </c>
      <c r="AB47" s="444">
        <f>+AA47-Z47</f>
        <v>440</v>
      </c>
      <c r="AC47" s="445">
        <f>AE40</f>
        <v>33</v>
      </c>
      <c r="AD47" s="446">
        <f>AE36</f>
        <v>33</v>
      </c>
      <c r="AE47" s="447">
        <f>AD47-AC47</f>
        <v>0</v>
      </c>
      <c r="AF47" s="448">
        <f>IF(OR(AB47=0,AE47=0),0,ROUND(AE47/AB47,5))</f>
        <v>0</v>
      </c>
      <c r="AG47" s="449">
        <f ca="1">IF(AND(AA44&gt;=Z47,AA44&lt;AA47),AC47+((AA44-Z47)*AF47),AC47)</f>
        <v>33</v>
      </c>
      <c r="AH47" s="450">
        <f>AD50</f>
        <v>46</v>
      </c>
      <c r="AI47" s="237"/>
      <c r="AJ47" s="237"/>
    </row>
    <row r="48" spans="2:36" x14ac:dyDescent="0.2">
      <c r="P48" s="358"/>
      <c r="Q48" s="375" t="str">
        <f t="shared" si="4"/>
        <v>Ln48</v>
      </c>
      <c r="R48" s="503" t="str">
        <f>IF(AND(C7&gt;0,D15=0),"WARN","OK")</f>
        <v>OK</v>
      </c>
      <c r="S48" s="506" t="s">
        <v>111</v>
      </c>
      <c r="T48" s="507"/>
      <c r="U48" s="357"/>
      <c r="V48" s="357"/>
      <c r="W48" s="357"/>
      <c r="X48" s="357"/>
      <c r="Y48" s="426" t="s">
        <v>56</v>
      </c>
      <c r="Z48" s="451">
        <f>AA47</f>
        <v>2240</v>
      </c>
      <c r="AA48" s="452">
        <f>Z34</f>
        <v>2700</v>
      </c>
      <c r="AB48" s="453">
        <f>+AA48-Z48</f>
        <v>460</v>
      </c>
      <c r="AC48" s="454">
        <f>IF(AD48=AD47,AC47,AD47)</f>
        <v>33</v>
      </c>
      <c r="AD48" s="455">
        <f>AE34</f>
        <v>35.700000000000003</v>
      </c>
      <c r="AE48" s="447">
        <f>AD48-AC48</f>
        <v>2.7000000000000028</v>
      </c>
      <c r="AF48" s="448">
        <f>IF(OR(AB48=0,AE48=0),0,ROUND(AE48/AB48,5))</f>
        <v>5.8700000000000002E-3</v>
      </c>
      <c r="AG48" s="449">
        <f ca="1">IF(AND(AA44&gt;=Z48,AA44&lt;AA48),AC48+((AA44-Z48)*AF48),AC48)</f>
        <v>34.137605999999998</v>
      </c>
      <c r="AH48" s="213">
        <f>AH47</f>
        <v>46</v>
      </c>
      <c r="AI48" s="237"/>
      <c r="AJ48" s="237"/>
    </row>
    <row r="49" spans="8:36" x14ac:dyDescent="0.2">
      <c r="P49" s="358"/>
      <c r="Q49" s="375" t="str">
        <f t="shared" si="4"/>
        <v>Ln49</v>
      </c>
      <c r="R49" s="503" t="str">
        <f>IF(AND(C7&gt;0,D16=0),"WARN","OK")</f>
        <v>OK</v>
      </c>
      <c r="S49" s="506" t="s">
        <v>113</v>
      </c>
      <c r="T49" s="507"/>
      <c r="U49" s="357"/>
      <c r="V49" s="357"/>
      <c r="W49" s="357"/>
      <c r="X49" s="357"/>
      <c r="Y49" s="426" t="s">
        <v>54</v>
      </c>
      <c r="Z49" s="451">
        <f>AA48</f>
        <v>2700</v>
      </c>
      <c r="AA49" s="452">
        <f>AA32</f>
        <v>2950</v>
      </c>
      <c r="AB49" s="453">
        <f>+AA49-Z49</f>
        <v>250</v>
      </c>
      <c r="AC49" s="454">
        <f>IF(AD49=AD48,AC48,AD48)</f>
        <v>35.700000000000003</v>
      </c>
      <c r="AD49" s="455">
        <f>AF32</f>
        <v>41</v>
      </c>
      <c r="AE49" s="447">
        <f>AD49-AC49</f>
        <v>5.2999999999999972</v>
      </c>
      <c r="AF49" s="448">
        <f>IF(OR(AB49=0,AE49=0),0,ROUND(AE49/AB49,5))</f>
        <v>2.12E-2</v>
      </c>
      <c r="AG49" s="449">
        <f ca="1">IF(AND(AA44&gt;=Z49,AA44&lt;AA49),AC49+((AA44-Z49)*AF49),AC49)</f>
        <v>35.700000000000003</v>
      </c>
      <c r="AH49" s="213">
        <f>AH48</f>
        <v>46</v>
      </c>
      <c r="AI49" s="237"/>
      <c r="AJ49" s="237"/>
    </row>
    <row r="50" spans="8:36" ht="13.5" thickBot="1" x14ac:dyDescent="0.25">
      <c r="P50" s="358"/>
      <c r="Q50" s="375" t="str">
        <f t="shared" si="4"/>
        <v>Ln50</v>
      </c>
      <c r="R50" s="503" t="str">
        <f>IF(AND(C7&gt;0,D17=0),"WARN","OK")</f>
        <v>OK</v>
      </c>
      <c r="S50" s="506" t="s">
        <v>112</v>
      </c>
      <c r="T50" s="507"/>
      <c r="U50" s="357"/>
      <c r="V50" s="357"/>
      <c r="W50" s="357"/>
      <c r="X50" s="357"/>
      <c r="Y50" s="458" t="s">
        <v>57</v>
      </c>
      <c r="Z50" s="459">
        <f>AA49</f>
        <v>2950</v>
      </c>
      <c r="AA50" s="460">
        <f>AC32</f>
        <v>2950</v>
      </c>
      <c r="AB50" s="461">
        <f>+AA50-Z50</f>
        <v>0</v>
      </c>
      <c r="AC50" s="462">
        <f>IF(AD50=AD49,AC49,AD49)</f>
        <v>41</v>
      </c>
      <c r="AD50" s="463">
        <f>AH32</f>
        <v>46</v>
      </c>
      <c r="AE50" s="464">
        <f>AD50-AC50</f>
        <v>5</v>
      </c>
      <c r="AF50" s="465">
        <f>IF(OR(AB50=0,AE50=0),0,ROUND(AE50/AB50,5))</f>
        <v>0</v>
      </c>
      <c r="AG50" s="466">
        <f ca="1">IF(AND(AA44&gt;=Z50,AA44&lt;AA50),AC50+((AA44-Z50)*AF50),AC50)</f>
        <v>41</v>
      </c>
      <c r="AH50" s="217">
        <f>AH49</f>
        <v>46</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358"/>
      <c r="Q51" s="375" t="str">
        <f t="shared" si="4"/>
        <v>Ln51</v>
      </c>
      <c r="R51" s="503" t="str">
        <f>IF(D18&gt;D15,"ERR","OK")</f>
        <v>OK</v>
      </c>
      <c r="S51" s="506" t="s">
        <v>94</v>
      </c>
      <c r="T51" s="507"/>
      <c r="U51" s="357"/>
      <c r="V51" s="357"/>
      <c r="W51" s="357"/>
      <c r="X51" s="357"/>
      <c r="Y51" s="357"/>
      <c r="Z51" s="357"/>
      <c r="AA51" s="357"/>
      <c r="AB51" s="357"/>
      <c r="AC51" s="357"/>
      <c r="AD51" s="357"/>
      <c r="AE51" s="357"/>
      <c r="AF51" s="357"/>
      <c r="AG51" s="357"/>
      <c r="AH51" s="357"/>
      <c r="AI51" s="237"/>
      <c r="AJ51" s="237"/>
    </row>
    <row r="52" spans="8:36" x14ac:dyDescent="0.2">
      <c r="I52" s="758"/>
      <c r="J52" s="762"/>
      <c r="K52" s="762"/>
      <c r="L52" s="762"/>
      <c r="M52" s="763"/>
      <c r="P52" s="358"/>
      <c r="Q52" s="375" t="str">
        <f t="shared" si="4"/>
        <v>Ln52</v>
      </c>
      <c r="R52" s="503" t="str">
        <f>IF(OR(D15=0,D16=0,D17=0),"WARN","OK")</f>
        <v>WARN</v>
      </c>
      <c r="S52" s="506" t="s">
        <v>110</v>
      </c>
      <c r="T52" s="507"/>
      <c r="U52" s="357"/>
      <c r="V52" s="357"/>
      <c r="W52" s="357"/>
      <c r="X52" s="357"/>
      <c r="Y52" s="357"/>
      <c r="Z52" s="357"/>
      <c r="AA52" s="357"/>
      <c r="AB52" s="357"/>
      <c r="AC52" s="357"/>
      <c r="AD52" s="357"/>
      <c r="AE52" s="357"/>
      <c r="AF52" s="357"/>
      <c r="AG52" s="357"/>
      <c r="AH52" s="357"/>
      <c r="AI52" s="237"/>
      <c r="AJ52" s="237"/>
    </row>
    <row r="53" spans="8:36" ht="13.5" thickBot="1" x14ac:dyDescent="0.25">
      <c r="I53" s="759"/>
      <c r="J53" s="764"/>
      <c r="K53" s="764"/>
      <c r="L53" s="764"/>
      <c r="M53" s="765"/>
      <c r="P53" s="358"/>
      <c r="Q53" s="375" t="str">
        <f t="shared" si="4"/>
        <v>Ln53</v>
      </c>
      <c r="R53" s="503" t="str">
        <f>IF(AND(D15&gt;0,D16&gt;0,D18&gt;0,T43&lt;1),"WARN","OK")</f>
        <v>OK</v>
      </c>
      <c r="S53" s="506" t="s">
        <v>90</v>
      </c>
      <c r="T53" s="507"/>
      <c r="U53" s="357"/>
      <c r="V53" s="357"/>
      <c r="W53" s="357"/>
      <c r="X53" s="357"/>
      <c r="Y53" s="357"/>
      <c r="Z53" s="357"/>
      <c r="AA53" s="357"/>
      <c r="AB53" s="357"/>
      <c r="AC53" s="357"/>
      <c r="AD53" s="357"/>
      <c r="AE53" s="357"/>
      <c r="AF53" s="357"/>
      <c r="AG53" s="357"/>
      <c r="AH53" s="357"/>
      <c r="AI53" s="237"/>
      <c r="AJ53" s="237"/>
    </row>
    <row r="54" spans="8:36" ht="13.5" thickTop="1" x14ac:dyDescent="0.2">
      <c r="I54" s="650" t="str">
        <f>IF(C4&lt;&gt;9999,"","Env "&amp;Z23&amp;"  "&amp;AA23&amp;"  "&amp;AA24&amp;"  "&amp;AA25&amp;"  "&amp;AA26&amp;"     "&amp;AC23&amp;"  "&amp;AD23&amp;"  "&amp;AD24&amp;"  "&amp;AD25&amp;"  "&amp;AD26)</f>
        <v/>
      </c>
      <c r="P54" s="358"/>
      <c r="Q54" s="357"/>
      <c r="R54" s="357"/>
      <c r="S54" s="357"/>
      <c r="T54" s="357"/>
      <c r="U54" s="357"/>
      <c r="V54" s="357"/>
      <c r="W54" s="357"/>
      <c r="X54" s="357"/>
      <c r="Y54" s="357"/>
      <c r="Z54" s="357"/>
      <c r="AA54" s="357"/>
      <c r="AB54" s="357"/>
      <c r="AC54" s="357"/>
      <c r="AD54" s="357"/>
      <c r="AE54" s="357"/>
      <c r="AF54" s="357"/>
      <c r="AG54" s="357"/>
      <c r="AH54" s="357"/>
      <c r="AI54" s="237"/>
      <c r="AJ54" s="237"/>
    </row>
    <row r="55" spans="8:36" x14ac:dyDescent="0.2">
      <c r="I55" s="651" t="str">
        <f>IF(C4&lt;&gt;9999,"","Fuel  T "&amp;T19&amp;"   F "&amp;T18&amp;"      Load   0 "&amp;U37&amp;"  T "&amp;U38&amp;"  F "&amp;U39)</f>
        <v/>
      </c>
      <c r="P55" s="358"/>
      <c r="Q55" s="357"/>
      <c r="R55" s="357"/>
      <c r="S55" s="357"/>
      <c r="T55" s="357"/>
      <c r="U55" s="357"/>
      <c r="V55" s="357"/>
      <c r="W55" s="357"/>
      <c r="X55" s="357"/>
      <c r="Y55" s="357"/>
      <c r="Z55" s="357"/>
      <c r="AA55" s="357"/>
      <c r="AB55" s="357"/>
      <c r="AC55" s="357"/>
      <c r="AD55" s="357"/>
      <c r="AE55" s="357"/>
      <c r="AF55" s="357"/>
      <c r="AG55" s="357"/>
      <c r="AH55" s="357"/>
      <c r="AI55" s="237"/>
      <c r="AJ55" s="237"/>
    </row>
    <row r="56" spans="8:36" x14ac:dyDescent="0.2">
      <c r="P56" s="358"/>
      <c r="Q56" s="357"/>
      <c r="R56" s="357"/>
      <c r="S56" s="357"/>
      <c r="T56" s="357"/>
      <c r="U56" s="357"/>
      <c r="V56" s="357"/>
      <c r="W56" s="357"/>
      <c r="X56" s="357"/>
      <c r="Y56" s="357"/>
      <c r="Z56" s="357"/>
      <c r="AA56" s="357"/>
      <c r="AB56" s="357"/>
      <c r="AC56" s="357"/>
      <c r="AD56" s="357"/>
      <c r="AE56" s="357"/>
      <c r="AF56" s="357"/>
      <c r="AG56" s="357"/>
      <c r="AH56" s="357"/>
      <c r="AI56" s="237"/>
      <c r="AJ56" s="237"/>
    </row>
  </sheetData>
  <sheetProtection algorithmName="SHA-512" hashValue="13mJjssmfvAFfjtjg9oqpmyo3CI9w49Zj/68WqF3RewFrhRaXhDO17//D92H4RvMGldaJIzXxScp0LxXpzmT7w==" saltValue="nJjfuXcLL3Gi1yF0VuBYNA==" spinCount="100000" sheet="1" selectLockedCells="1"/>
  <mergeCells count="45">
    <mergeCell ref="I51:I53"/>
    <mergeCell ref="J51:M53"/>
    <mergeCell ref="AF35:AG35"/>
    <mergeCell ref="AA36:AB36"/>
    <mergeCell ref="AF36:AG36"/>
    <mergeCell ref="AC37:AC39"/>
    <mergeCell ref="AF41:AG41"/>
    <mergeCell ref="AA35:AB35"/>
    <mergeCell ref="C23:F23"/>
    <mergeCell ref="C24:F24"/>
    <mergeCell ref="AH37:AH39"/>
    <mergeCell ref="C25:F25"/>
    <mergeCell ref="D28:E28"/>
    <mergeCell ref="F28:H28"/>
    <mergeCell ref="D29:E29"/>
    <mergeCell ref="D30:E30"/>
    <mergeCell ref="F30:H30"/>
    <mergeCell ref="AH13:AH15"/>
    <mergeCell ref="D15:E15"/>
    <mergeCell ref="D16:E16"/>
    <mergeCell ref="B21:B22"/>
    <mergeCell ref="C21:F22"/>
    <mergeCell ref="D17:E17"/>
    <mergeCell ref="AF17:AG17"/>
    <mergeCell ref="D18:E18"/>
    <mergeCell ref="D13:E13"/>
    <mergeCell ref="AC13:AC15"/>
    <mergeCell ref="C11:F11"/>
    <mergeCell ref="AA11:AB11"/>
    <mergeCell ref="AF11:AG11"/>
    <mergeCell ref="C12:F12"/>
    <mergeCell ref="AA12:AB12"/>
    <mergeCell ref="AF12:AG12"/>
    <mergeCell ref="B7:B8"/>
    <mergeCell ref="C7:D8"/>
    <mergeCell ref="E7:F8"/>
    <mergeCell ref="B9:B10"/>
    <mergeCell ref="C9:D10"/>
    <mergeCell ref="E9:F10"/>
    <mergeCell ref="C4:D4"/>
    <mergeCell ref="B1:H1"/>
    <mergeCell ref="C2:E2"/>
    <mergeCell ref="J2:K2"/>
    <mergeCell ref="D3:F3"/>
    <mergeCell ref="J3:K3"/>
  </mergeCells>
  <conditionalFormatting sqref="T37:T38">
    <cfRule type="expression" dxfId="782" priority="19" stopIfTrue="1">
      <formula>S37=""</formula>
    </cfRule>
  </conditionalFormatting>
  <conditionalFormatting sqref="I26 I28">
    <cfRule type="expression" dxfId="781" priority="20" stopIfTrue="1">
      <formula>E7=""</formula>
    </cfRule>
  </conditionalFormatting>
  <conditionalFormatting sqref="I27 I29:I30">
    <cfRule type="expression" dxfId="780" priority="21" stopIfTrue="1">
      <formula>C9=""</formula>
    </cfRule>
  </conditionalFormatting>
  <conditionalFormatting sqref="U37:U39 V19">
    <cfRule type="expression" dxfId="779" priority="22" stopIfTrue="1">
      <formula>S19=""</formula>
    </cfRule>
  </conditionalFormatting>
  <conditionalFormatting sqref="C25">
    <cfRule type="expression" dxfId="778" priority="23" stopIfTrue="1">
      <formula>AND(C7="",E7+C9+E9&gt;0)</formula>
    </cfRule>
  </conditionalFormatting>
  <conditionalFormatting sqref="B30">
    <cfRule type="expression" dxfId="777" priority="24" stopIfTrue="1">
      <formula>D29&gt;D28</formula>
    </cfRule>
  </conditionalFormatting>
  <conditionalFormatting sqref="D30:E30">
    <cfRule type="expression" dxfId="776" priority="25" stopIfTrue="1">
      <formula>D29&gt;D28</formula>
    </cfRule>
  </conditionalFormatting>
  <conditionalFormatting sqref="F30:H30">
    <cfRule type="expression" dxfId="775" priority="26" stopIfTrue="1">
      <formula>D29&gt;D28</formula>
    </cfRule>
  </conditionalFormatting>
  <conditionalFormatting sqref="B23 B25">
    <cfRule type="cellIs" dxfId="774" priority="27" stopIfTrue="1" operator="notEqual">
      <formula>""</formula>
    </cfRule>
  </conditionalFormatting>
  <conditionalFormatting sqref="B24">
    <cfRule type="cellIs" dxfId="773" priority="28" stopIfTrue="1" operator="notEqual">
      <formula>""</formula>
    </cfRule>
  </conditionalFormatting>
  <conditionalFormatting sqref="R46:R53 R8 R10 R29:R30 R33">
    <cfRule type="cellIs" dxfId="772" priority="29" stopIfTrue="1" operator="notEqual">
      <formula>""</formula>
    </cfRule>
  </conditionalFormatting>
  <conditionalFormatting sqref="S37:S39">
    <cfRule type="expression" dxfId="771" priority="30" stopIfTrue="1">
      <formula>S37=""</formula>
    </cfRule>
  </conditionalFormatting>
  <conditionalFormatting sqref="R18">
    <cfRule type="cellIs" dxfId="770" priority="31" stopIfTrue="1" operator="notEqual">
      <formula>""</formula>
    </cfRule>
  </conditionalFormatting>
  <conditionalFormatting sqref="J5">
    <cfRule type="expression" dxfId="769" priority="32" stopIfTrue="1">
      <formula>expired=TRUE</formula>
    </cfRule>
  </conditionalFormatting>
  <conditionalFormatting sqref="B1:H1">
    <cfRule type="expression" dxfId="768" priority="33" stopIfTrue="1">
      <formula>expired=TRUE</formula>
    </cfRule>
    <cfRule type="expression" dxfId="767" priority="34" stopIfTrue="1">
      <formula>old_ver=TRUE</formula>
    </cfRule>
  </conditionalFormatting>
  <conditionalFormatting sqref="I3">
    <cfRule type="expression" dxfId="766" priority="35" stopIfTrue="1">
      <formula>D3=""</formula>
    </cfRule>
  </conditionalFormatting>
  <conditionalFormatting sqref="J2">
    <cfRule type="expression" dxfId="765" priority="36" stopIfTrue="1">
      <formula>D3=""</formula>
    </cfRule>
  </conditionalFormatting>
  <conditionalFormatting sqref="L2">
    <cfRule type="expression" dxfId="764" priority="37" stopIfTrue="1">
      <formula>D3=""</formula>
    </cfRule>
  </conditionalFormatting>
  <conditionalFormatting sqref="L3">
    <cfRule type="expression" dxfId="763" priority="38" stopIfTrue="1">
      <formula>D3=""</formula>
    </cfRule>
  </conditionalFormatting>
  <conditionalFormatting sqref="J3:K3">
    <cfRule type="expression" dxfId="762" priority="39" stopIfTrue="1">
      <formula>D3=""</formula>
    </cfRule>
  </conditionalFormatting>
  <conditionalFormatting sqref="I2">
    <cfRule type="expression" dxfId="761" priority="40" stopIfTrue="1">
      <formula>AND(D3="",C2="")</formula>
    </cfRule>
  </conditionalFormatting>
  <conditionalFormatting sqref="V21">
    <cfRule type="expression" dxfId="760" priority="18" stopIfTrue="1">
      <formula>T21=""</formula>
    </cfRule>
  </conditionalFormatting>
  <conditionalFormatting sqref="E21:E22">
    <cfRule type="expression" dxfId="759" priority="41" stopIfTrue="1">
      <formula>OR(AC19="out",AF19="out")</formula>
    </cfRule>
  </conditionalFormatting>
  <conditionalFormatting sqref="M17">
    <cfRule type="expression" dxfId="758" priority="42" stopIfTrue="1">
      <formula>AE19="out"</formula>
    </cfRule>
  </conditionalFormatting>
  <conditionalFormatting sqref="K17">
    <cfRule type="expression" dxfId="757" priority="43" stopIfTrue="1">
      <formula>AE19&lt;&gt;"OK"</formula>
    </cfRule>
  </conditionalFormatting>
  <conditionalFormatting sqref="F21:F22">
    <cfRule type="expression" dxfId="756" priority="44" stopIfTrue="1">
      <formula>OR(AE19="out",AG19="out")</formula>
    </cfRule>
  </conditionalFormatting>
  <conditionalFormatting sqref="C21:C22">
    <cfRule type="expression" dxfId="755" priority="45" stopIfTrue="1">
      <formula>OR(AA19="out",AE19="out")</formula>
    </cfRule>
  </conditionalFormatting>
  <conditionalFormatting sqref="D21:D22">
    <cfRule type="expression" dxfId="754" priority="46" stopIfTrue="1">
      <formula>OR(AB19="out",#REF!="out")</formula>
    </cfRule>
  </conditionalFormatting>
  <conditionalFormatting sqref="K20">
    <cfRule type="expression" dxfId="753" priority="47" stopIfTrue="1">
      <formula>AE43&lt;&gt;"OK"</formula>
    </cfRule>
  </conditionalFormatting>
  <conditionalFormatting sqref="J16">
    <cfRule type="expression" dxfId="752" priority="48" stopIfTrue="1">
      <formula>R8&lt;&gt;"OK"</formula>
    </cfRule>
  </conditionalFormatting>
  <conditionalFormatting sqref="J19">
    <cfRule type="expression" dxfId="751" priority="49" stopIfTrue="1">
      <formula>R10&lt;&gt;"OK"</formula>
    </cfRule>
  </conditionalFormatting>
  <conditionalFormatting sqref="B21">
    <cfRule type="expression" dxfId="750" priority="50" stopIfTrue="1">
      <formula>R10&lt;&gt;"OK"</formula>
    </cfRule>
    <cfRule type="expression" dxfId="749" priority="51" stopIfTrue="1">
      <formula>R11&lt;&gt;"OK"</formula>
    </cfRule>
  </conditionalFormatting>
  <conditionalFormatting sqref="V27">
    <cfRule type="expression" dxfId="748" priority="16" stopIfTrue="1">
      <formula>T27=""</formula>
    </cfRule>
  </conditionalFormatting>
  <conditionalFormatting sqref="V26">
    <cfRule type="expression" dxfId="747" priority="17" stopIfTrue="1">
      <formula>S26=""</formula>
    </cfRule>
  </conditionalFormatting>
  <conditionalFormatting sqref="D15:E15">
    <cfRule type="expression" dxfId="746" priority="52" stopIfTrue="1">
      <formula>R18="err"</formula>
    </cfRule>
  </conditionalFormatting>
  <conditionalFormatting sqref="F23">
    <cfRule type="expression" dxfId="745" priority="53" stopIfTrue="1">
      <formula>#REF!&lt;&gt;"OK"</formula>
    </cfRule>
  </conditionalFormatting>
  <conditionalFormatting sqref="M16">
    <cfRule type="expression" dxfId="744" priority="54" stopIfTrue="1">
      <formula>J16&gt;U8</formula>
    </cfRule>
  </conditionalFormatting>
  <conditionalFormatting sqref="V18">
    <cfRule type="expression" dxfId="743" priority="55" stopIfTrue="1">
      <formula>S18=""</formula>
    </cfRule>
  </conditionalFormatting>
  <conditionalFormatting sqref="R31">
    <cfRule type="cellIs" dxfId="742" priority="15" stopIfTrue="1" operator="notEqual">
      <formula>""</formula>
    </cfRule>
  </conditionalFormatting>
  <conditionalFormatting sqref="R34">
    <cfRule type="cellIs" dxfId="741" priority="14" stopIfTrue="1" operator="notEqual">
      <formula>""</formula>
    </cfRule>
  </conditionalFormatting>
  <conditionalFormatting sqref="R32">
    <cfRule type="cellIs" dxfId="740" priority="13" stopIfTrue="1" operator="notEqual">
      <formula>""</formula>
    </cfRule>
  </conditionalFormatting>
  <conditionalFormatting sqref="B22">
    <cfRule type="expression" dxfId="739" priority="56" stopIfTrue="1">
      <formula>R11&lt;&gt;"OK"</formula>
    </cfRule>
    <cfRule type="expression" dxfId="738" priority="57" stopIfTrue="1">
      <formula>R29&lt;&gt;"OK"</formula>
    </cfRule>
  </conditionalFormatting>
  <conditionalFormatting sqref="C12">
    <cfRule type="expression" dxfId="737" priority="58" stopIfTrue="1">
      <formula>R30="ERR"</formula>
    </cfRule>
  </conditionalFormatting>
  <conditionalFormatting sqref="C11">
    <cfRule type="expression" dxfId="736" priority="59" stopIfTrue="1">
      <formula>R29="ERR"</formula>
    </cfRule>
  </conditionalFormatting>
  <conditionalFormatting sqref="C23:E23">
    <cfRule type="expression" dxfId="735" priority="60" stopIfTrue="1">
      <formula>R53&lt;&gt;"OK"</formula>
    </cfRule>
  </conditionalFormatting>
  <conditionalFormatting sqref="C7:D8">
    <cfRule type="expression" dxfId="734" priority="61" stopIfTrue="1">
      <formula>R46&lt;&gt;"OK"</formula>
    </cfRule>
  </conditionalFormatting>
  <conditionalFormatting sqref="D18:E18">
    <cfRule type="expression" dxfId="733" priority="62" stopIfTrue="1">
      <formula>R51&lt;&gt;"OK"</formula>
    </cfRule>
  </conditionalFormatting>
  <conditionalFormatting sqref="B18 B20">
    <cfRule type="expression" dxfId="732" priority="63" stopIfTrue="1">
      <formula>R51&lt;&gt;"OK"</formula>
    </cfRule>
  </conditionalFormatting>
  <conditionalFormatting sqref="D19">
    <cfRule type="expression" dxfId="731" priority="64" stopIfTrue="1">
      <formula>R53&lt;&gt;"ok"</formula>
    </cfRule>
  </conditionalFormatting>
  <conditionalFormatting sqref="D13:E13">
    <cfRule type="expression" dxfId="730" priority="65">
      <formula>AND(R34="ERR",D13&lt;&gt;0)</formula>
    </cfRule>
    <cfRule type="expression" dxfId="729" priority="66" stopIfTrue="1">
      <formula>R31="ERR"</formula>
    </cfRule>
  </conditionalFormatting>
  <conditionalFormatting sqref="C12:F12">
    <cfRule type="expression" dxfId="728" priority="67" stopIfTrue="1">
      <formula>AND(C12&lt;&gt;0,R33="ERR")</formula>
    </cfRule>
    <cfRule type="expression" dxfId="727" priority="68" stopIfTrue="1">
      <formula>AND(R34="ERR",C12&lt;&gt;0)</formula>
    </cfRule>
  </conditionalFormatting>
  <conditionalFormatting sqref="C11:F11">
    <cfRule type="expression" dxfId="726" priority="69" stopIfTrue="1">
      <formula>R33="ERR"</formula>
    </cfRule>
    <cfRule type="expression" dxfId="725" priority="70" stopIfTrue="1">
      <formula>R32="ERR"</formula>
    </cfRule>
  </conditionalFormatting>
  <conditionalFormatting sqref="S21">
    <cfRule type="expression" dxfId="724" priority="12" stopIfTrue="1">
      <formula>T21=""</formula>
    </cfRule>
  </conditionalFormatting>
  <conditionalFormatting sqref="S22:S23">
    <cfRule type="expression" dxfId="723" priority="11" stopIfTrue="1">
      <formula>S22=""</formula>
    </cfRule>
  </conditionalFormatting>
  <conditionalFormatting sqref="S20">
    <cfRule type="expression" dxfId="722" priority="9">
      <formula>AND(OR(T20="",LEFT(T20,1)="F"),T18&lt;&gt;T19)</formula>
    </cfRule>
    <cfRule type="expression" dxfId="721" priority="10">
      <formula>AND(LEFT(T20,1)&lt;&gt;"F",T18=T19)</formula>
    </cfRule>
  </conditionalFormatting>
  <conditionalFormatting sqref="R20">
    <cfRule type="cellIs" dxfId="720" priority="8" stopIfTrue="1" operator="notEqual">
      <formula>""</formula>
    </cfRule>
  </conditionalFormatting>
  <conditionalFormatting sqref="V20">
    <cfRule type="expression" dxfId="719" priority="7" stopIfTrue="1">
      <formula>T20=""</formula>
    </cfRule>
  </conditionalFormatting>
  <conditionalFormatting sqref="S12:S15">
    <cfRule type="expression" dxfId="718" priority="6" stopIfTrue="1">
      <formula>S12=""</formula>
    </cfRule>
  </conditionalFormatting>
  <conditionalFormatting sqref="R11">
    <cfRule type="cellIs" dxfId="717" priority="5" stopIfTrue="1" operator="notEqual">
      <formula>""</formula>
    </cfRule>
  </conditionalFormatting>
  <conditionalFormatting sqref="S19">
    <cfRule type="expression" dxfId="716" priority="4" stopIfTrue="1">
      <formula>#REF!=""</formula>
    </cfRule>
  </conditionalFormatting>
  <conditionalFormatting sqref="C24:F24">
    <cfRule type="cellIs" dxfId="715" priority="3" stopIfTrue="1" operator="notEqual">
      <formula>""</formula>
    </cfRule>
  </conditionalFormatting>
  <conditionalFormatting sqref="B32:B34">
    <cfRule type="expression" dxfId="714" priority="2" stopIfTrue="1">
      <formula>D31&gt;D30</formula>
    </cfRule>
  </conditionalFormatting>
  <conditionalFormatting sqref="I4">
    <cfRule type="expression" dxfId="713" priority="1" stopIfTrue="1">
      <formula>K3&gt;K2</formula>
    </cfRule>
  </conditionalFormatting>
  <dataValidations count="3">
    <dataValidation type="date" allowBlank="1" showInputMessage="1" showErrorMessage="1" errorTitle="Input Error" error="A valid date must be entered into this cell.  Enter as  mm/dd/yy  _x000a__x000a_" sqref="C2:E2" xr:uid="{00000000-0002-0000-0700-000000000000}">
      <formula1>36526</formula1>
      <formula2>44196</formula2>
    </dataValidation>
    <dataValidation type="custom" allowBlank="1" showInputMessage="1" showErrorMessage="1" errorTitle="Input Error" error="Entry must be a NUMERIC VALUE!" sqref="D15:E17 C7:F12" xr:uid="{00000000-0002-0000-0700-000001000000}">
      <formula1>ISNUMBER(C7)</formula1>
    </dataValidation>
    <dataValidation type="list" showInputMessage="1" showErrorMessage="1" errorTitle="STANDARD FUELING LEVEL" error="STANDARD FUELING LEVEL MUST BE ENTERED:_x000a_TABS,_x000a_Measured,_x000a_FULL" sqref="T20" xr:uid="{00000000-0002-0000-0700-000002000000}">
      <formula1>"TABS,Measured,FULL"</formula1>
    </dataValidation>
  </dataValidations>
  <printOptions horizontalCentered="1"/>
  <pageMargins left="0.75" right="0.5" top="0.5" bottom="0.5" header="0.5" footer="0.5"/>
  <pageSetup scale="96" orientation="portrait" r:id="rId1"/>
  <headerFooter alignWithMargins="0">
    <oddFooter>&amp;L&amp;F &amp;A&amp;RPrinted: &amp;D      Page &amp;P of &amp;N</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77103-E51A-4B39-A042-6E84DD3A3C63}">
  <sheetPr codeName="Sheet18">
    <tabColor rgb="FF0000FF"/>
    <pageSetUpPr fitToPage="1"/>
  </sheetPr>
  <dimension ref="B1:AJ56"/>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4" width="4.7109375" hidden="1" customWidth="1"/>
    <col min="15" max="15" width="4.28515625" hidden="1" customWidth="1"/>
    <col min="16" max="16" width="11.7109375" style="41" hidden="1" customWidth="1"/>
    <col min="17" max="17" width="9.7109375" style="41" hidden="1" customWidth="1"/>
    <col min="18" max="18" width="8.42578125" style="41" hidden="1" customWidth="1"/>
    <col min="19" max="19" width="19" style="41" hidden="1" customWidth="1"/>
    <col min="20" max="21" width="7.7109375" style="41" hidden="1" customWidth="1"/>
    <col min="22" max="22" width="8.7109375" style="41" hidden="1" customWidth="1"/>
    <col min="23" max="23" width="29.42578125" style="41" hidden="1" customWidth="1"/>
    <col min="24" max="24" width="4.7109375" style="41" hidden="1" customWidth="1"/>
    <col min="25" max="25" width="3.5703125" style="41" hidden="1" customWidth="1"/>
    <col min="26" max="33" width="9.140625" style="41" hidden="1" customWidth="1"/>
    <col min="34" max="34" width="37.85546875" style="41" hidden="1" customWidth="1"/>
    <col min="35" max="36" width="9" hidden="1" customWidth="1"/>
    <col min="37" max="37" width="8.140625" customWidth="1"/>
  </cols>
  <sheetData>
    <row r="1" spans="2:36" ht="22.9" customHeight="1" thickBot="1" x14ac:dyDescent="0.25">
      <c r="B1" s="807" t="str">
        <f ca="1">status_msg</f>
        <v/>
      </c>
      <c r="C1" s="807"/>
      <c r="D1" s="807"/>
      <c r="E1" s="807"/>
      <c r="F1" s="807"/>
      <c r="G1" s="807"/>
      <c r="H1" s="807"/>
      <c r="I1" s="514" t="str">
        <f>Q1</f>
        <v>CAP 926</v>
      </c>
      <c r="J1" s="514" t="str">
        <f>R1</f>
        <v>N380CV</v>
      </c>
      <c r="K1" s="515"/>
      <c r="L1" s="516" t="str">
        <f>S1</f>
        <v>(230hp C182T) Long Range Tanks</v>
      </c>
      <c r="M1" s="517"/>
      <c r="P1" s="354" t="s">
        <v>178</v>
      </c>
      <c r="Q1" s="355" t="s">
        <v>269</v>
      </c>
      <c r="R1" s="355" t="s">
        <v>270</v>
      </c>
      <c r="S1" s="356" t="s">
        <v>181</v>
      </c>
      <c r="T1" s="356"/>
      <c r="U1" s="357"/>
      <c r="V1" s="357"/>
      <c r="W1" s="357"/>
      <c r="X1" s="357"/>
      <c r="Y1" s="357"/>
      <c r="Z1" s="357"/>
      <c r="AA1" s="357"/>
      <c r="AB1" s="357"/>
      <c r="AC1" s="357"/>
      <c r="AD1" s="357"/>
      <c r="AE1" s="357"/>
      <c r="AF1" s="357"/>
      <c r="AG1" s="357"/>
      <c r="AH1" s="357"/>
      <c r="AI1" s="237"/>
      <c r="AJ1" s="237"/>
    </row>
    <row r="2" spans="2:36" ht="15" customHeight="1" thickTop="1" thickBot="1" x14ac:dyDescent="0.25">
      <c r="B2" s="137" t="s">
        <v>131</v>
      </c>
      <c r="C2" s="808"/>
      <c r="D2" s="808"/>
      <c r="E2" s="809"/>
      <c r="F2" s="142" t="str">
        <f>IF(D3="","mm/dd/yy","(if not today)")</f>
        <v>mm/dd/yy</v>
      </c>
      <c r="H2" s="523"/>
      <c r="I2" s="138" t="s">
        <v>131</v>
      </c>
      <c r="J2" s="810" t="str">
        <f>IF(C3="","","Mission Symbol")&amp;"   Mission No:"</f>
        <v xml:space="preserve">   Mission No:</v>
      </c>
      <c r="K2" s="810"/>
      <c r="L2" s="682" t="s">
        <v>130</v>
      </c>
      <c r="P2" s="358"/>
      <c r="Q2" s="359" t="s">
        <v>173</v>
      </c>
      <c r="R2" s="359" t="s">
        <v>145</v>
      </c>
      <c r="S2" s="360" t="s">
        <v>172</v>
      </c>
      <c r="T2" s="361"/>
      <c r="U2" s="357"/>
      <c r="V2" s="357"/>
      <c r="W2" s="357"/>
      <c r="X2" s="357"/>
      <c r="Y2" s="357"/>
      <c r="Z2" s="357"/>
      <c r="AA2" s="357"/>
      <c r="AB2" s="357"/>
      <c r="AC2" s="357"/>
      <c r="AD2" s="357"/>
      <c r="AE2" s="357"/>
      <c r="AF2" s="357"/>
      <c r="AG2" s="357"/>
      <c r="AH2" s="357"/>
      <c r="AI2" s="237"/>
      <c r="AJ2" s="237"/>
    </row>
    <row r="3" spans="2:36" ht="15" customHeight="1" thickTop="1" thickBot="1" x14ac:dyDescent="0.25">
      <c r="B3" s="140" t="s">
        <v>137</v>
      </c>
      <c r="C3" s="681"/>
      <c r="D3" s="811"/>
      <c r="E3" s="811"/>
      <c r="F3" s="812"/>
      <c r="I3" s="131" t="str">
        <f ca="1">IF(AND(D3="",C2=""),"",IF(C2="",TODAY(),C2))</f>
        <v/>
      </c>
      <c r="J3" s="813" t="str">
        <f>IF(C3="","",IF(D3="","",C3))&amp;"      "&amp;IF(D3="","",D3)</f>
        <v xml:space="preserve">      </v>
      </c>
      <c r="K3" s="814"/>
      <c r="L3" s="132" t="str">
        <f>IF(C4="","",C4)</f>
        <v/>
      </c>
      <c r="P3" s="362"/>
      <c r="Q3" s="363"/>
      <c r="R3" s="363"/>
      <c r="S3" s="357"/>
      <c r="T3" s="357"/>
      <c r="U3" s="357"/>
      <c r="V3" s="357"/>
      <c r="W3" s="357"/>
      <c r="X3" s="357"/>
      <c r="Y3" s="357"/>
      <c r="Z3" s="364"/>
      <c r="AA3" s="357"/>
      <c r="AB3" s="365"/>
      <c r="AC3" s="357"/>
      <c r="AD3" s="357"/>
      <c r="AE3" s="357"/>
      <c r="AF3" s="357"/>
      <c r="AG3" s="357"/>
      <c r="AH3" s="357"/>
      <c r="AI3" s="237"/>
      <c r="AJ3" s="237"/>
    </row>
    <row r="4" spans="2:36" ht="12" customHeight="1" thickTop="1" x14ac:dyDescent="0.2">
      <c r="B4" s="140" t="s">
        <v>130</v>
      </c>
      <c r="C4" s="822"/>
      <c r="D4" s="823"/>
      <c r="E4" s="140"/>
      <c r="I4" s="687" t="s">
        <v>283</v>
      </c>
      <c r="J4" s="689"/>
      <c r="K4" s="688"/>
      <c r="L4" s="688"/>
      <c r="M4" s="688"/>
      <c r="P4" s="553" t="s">
        <v>222</v>
      </c>
      <c r="Q4" s="366"/>
      <c r="R4" s="366"/>
      <c r="S4" s="357"/>
      <c r="T4" s="367" t="s">
        <v>98</v>
      </c>
      <c r="U4" s="368"/>
      <c r="V4" s="369" t="s">
        <v>99</v>
      </c>
      <c r="W4" s="357"/>
      <c r="X4" s="357"/>
      <c r="Y4" s="357"/>
      <c r="Z4" s="357"/>
      <c r="AA4" s="357"/>
      <c r="AB4" s="357"/>
      <c r="AC4" s="357"/>
      <c r="AD4" s="357"/>
      <c r="AE4" s="357"/>
      <c r="AF4" s="357"/>
      <c r="AG4" s="357"/>
      <c r="AH4" s="357"/>
      <c r="AI4" s="237"/>
      <c r="AJ4" s="237"/>
    </row>
    <row r="5" spans="2:36" ht="12" customHeight="1" x14ac:dyDescent="0.2">
      <c r="I5" s="35"/>
      <c r="J5" s="36"/>
      <c r="K5" s="36"/>
      <c r="L5" s="36"/>
      <c r="M5" s="134" t="str">
        <f>"Release ID:   "&amp;release_nbr&amp;"    "&amp;TEXT(release_date,"dd mmm yyyy  ")</f>
        <v xml:space="preserve">Release ID:   R1    21 Mar 2020  </v>
      </c>
      <c r="P5" s="362"/>
      <c r="Q5" s="357"/>
      <c r="R5" s="357"/>
      <c r="S5" s="357"/>
      <c r="T5" s="357"/>
      <c r="U5" s="357"/>
      <c r="V5" s="357"/>
      <c r="W5" s="357"/>
      <c r="X5" s="357"/>
      <c r="Y5" s="357"/>
      <c r="Z5" s="357"/>
      <c r="AA5" s="357"/>
      <c r="AB5" s="357"/>
      <c r="AC5" s="357"/>
      <c r="AD5" s="357"/>
      <c r="AE5" s="357"/>
      <c r="AF5" s="357"/>
      <c r="AG5" s="357"/>
      <c r="AH5" s="357"/>
      <c r="AI5" s="237"/>
      <c r="AJ5" s="237"/>
    </row>
    <row r="6" spans="2:36" ht="12.75" customHeight="1" thickBot="1" x14ac:dyDescent="0.35">
      <c r="B6" s="3" t="s">
        <v>31</v>
      </c>
      <c r="I6" s="37" t="s">
        <v>0</v>
      </c>
      <c r="J6" s="38" t="s">
        <v>1</v>
      </c>
      <c r="K6" s="38" t="s">
        <v>2</v>
      </c>
      <c r="L6" s="39" t="s">
        <v>97</v>
      </c>
      <c r="M6" s="133" t="s">
        <v>3</v>
      </c>
      <c r="P6" s="362"/>
      <c r="Q6" s="370" t="s">
        <v>120</v>
      </c>
      <c r="R6" s="371"/>
      <c r="S6" s="371"/>
      <c r="T6" s="371"/>
      <c r="U6" s="372" t="s">
        <v>1</v>
      </c>
      <c r="V6" s="372" t="s">
        <v>2</v>
      </c>
      <c r="W6" s="373" t="s">
        <v>179</v>
      </c>
      <c r="X6" s="357"/>
      <c r="Y6" s="357"/>
      <c r="Z6" s="357"/>
      <c r="AA6" s="357"/>
      <c r="AB6" s="374" t="s">
        <v>163</v>
      </c>
      <c r="AC6" s="371"/>
      <c r="AD6" s="371"/>
      <c r="AE6" s="371"/>
      <c r="AF6" s="371"/>
      <c r="AG6" s="371"/>
      <c r="AH6" s="357"/>
      <c r="AI6" s="237"/>
      <c r="AJ6" s="237"/>
    </row>
    <row r="7" spans="2:36" ht="15" customHeight="1" thickTop="1" thickBot="1" x14ac:dyDescent="0.25">
      <c r="B7" s="803" t="s">
        <v>32</v>
      </c>
      <c r="C7" s="802"/>
      <c r="D7" s="804"/>
      <c r="E7" s="802"/>
      <c r="F7" s="800"/>
      <c r="H7" s="1"/>
      <c r="I7" s="13" t="s">
        <v>4</v>
      </c>
      <c r="J7" s="188">
        <f>U7</f>
        <v>2039.06</v>
      </c>
      <c r="K7" s="67">
        <f>V7</f>
        <v>39.72</v>
      </c>
      <c r="L7" s="68">
        <f>ROUND(J7*K7/1000,5)</f>
        <v>80.991460000000004</v>
      </c>
      <c r="M7" s="586" t="str">
        <f>IF(W7="","",W7)</f>
        <v>W/B: 16-JUN-2016 Yingling Aircraft</v>
      </c>
      <c r="P7" s="362"/>
      <c r="Q7" s="375" t="str">
        <f>"Ln"&amp;ROW()</f>
        <v>Ln7</v>
      </c>
      <c r="R7" s="376"/>
      <c r="S7" s="377" t="s">
        <v>4</v>
      </c>
      <c r="T7" s="378"/>
      <c r="U7" s="545">
        <v>2039.06</v>
      </c>
      <c r="V7" s="380">
        <v>39.72</v>
      </c>
      <c r="W7" s="381" t="s">
        <v>272</v>
      </c>
      <c r="X7" s="357"/>
      <c r="Y7" s="357"/>
      <c r="Z7" s="357"/>
      <c r="AA7" s="357"/>
      <c r="AB7" s="357"/>
      <c r="AC7" s="382"/>
      <c r="AD7" s="383" t="s">
        <v>162</v>
      </c>
      <c r="AE7" s="357"/>
      <c r="AF7" s="357"/>
      <c r="AG7" s="357"/>
      <c r="AH7" s="357"/>
      <c r="AI7" s="237"/>
      <c r="AJ7" s="237"/>
    </row>
    <row r="8" spans="2:36" ht="15" customHeight="1" thickTop="1" thickBot="1" x14ac:dyDescent="0.25">
      <c r="B8" s="803"/>
      <c r="C8" s="802"/>
      <c r="D8" s="804"/>
      <c r="E8" s="802"/>
      <c r="F8" s="800"/>
      <c r="H8" s="1"/>
      <c r="I8" s="125" t="s">
        <v>10</v>
      </c>
      <c r="J8" s="189">
        <f>D15*6</f>
        <v>384</v>
      </c>
      <c r="K8" s="69">
        <f>U18</f>
        <v>46.5</v>
      </c>
      <c r="L8" s="72">
        <f t="shared" ref="L8:L13" si="0">ROUND((J8*K8)/1000,5)</f>
        <v>17.856000000000002</v>
      </c>
      <c r="M8" s="11" t="str">
        <f>V18&amp;" lbs Max ("&amp;T18&amp;" gals)  "&amp;IF(OR(T18=T19,T19="",T19=0),"",V19&amp;" lbs Tabs ("&amp;T19&amp;" gals)")</f>
        <v>522 lbs Max (87 gals)  384 lbs Tabs (64 gals)</v>
      </c>
      <c r="P8" s="362"/>
      <c r="Q8" s="375" t="str">
        <f t="shared" ref="Q8:Q34" si="1">"Ln"&amp;ROW()</f>
        <v>Ln8</v>
      </c>
      <c r="R8" s="384" t="str">
        <f ca="1">IF(J16&gt;U8,"ERR","OK")</f>
        <v>OK</v>
      </c>
      <c r="S8" s="377" t="s">
        <v>168</v>
      </c>
      <c r="T8" s="378"/>
      <c r="U8" s="385">
        <v>3100</v>
      </c>
      <c r="V8" s="357"/>
      <c r="W8" s="357"/>
      <c r="X8" s="357"/>
      <c r="Y8" s="386"/>
      <c r="Z8" s="387"/>
      <c r="AA8" s="388">
        <v>3100</v>
      </c>
      <c r="AC8" s="624">
        <f>AA8</f>
        <v>3100</v>
      </c>
      <c r="AD8" s="357"/>
      <c r="AF8" s="389">
        <v>40.9</v>
      </c>
      <c r="AH8" s="390">
        <v>46</v>
      </c>
      <c r="AI8" s="237"/>
      <c r="AJ8" s="237"/>
    </row>
    <row r="9" spans="2:36" ht="15" customHeight="1" thickTop="1" thickBot="1" x14ac:dyDescent="0.25">
      <c r="B9" s="803" t="s">
        <v>33</v>
      </c>
      <c r="C9" s="802"/>
      <c r="D9" s="804"/>
      <c r="E9" s="802"/>
      <c r="F9" s="800"/>
      <c r="H9" s="1"/>
      <c r="I9" s="125" t="s">
        <v>11</v>
      </c>
      <c r="J9" s="189">
        <f>C7+E7</f>
        <v>0</v>
      </c>
      <c r="K9" s="69">
        <f>U26</f>
        <v>37</v>
      </c>
      <c r="L9" s="72">
        <f t="shared" si="0"/>
        <v>0</v>
      </c>
      <c r="M9" s="11" t="str">
        <f>IF(W26="","",W26)</f>
        <v/>
      </c>
      <c r="P9" s="362"/>
      <c r="Q9" s="375" t="str">
        <f t="shared" si="1"/>
        <v>Ln9</v>
      </c>
      <c r="R9" s="391"/>
      <c r="S9" s="377" t="s">
        <v>169</v>
      </c>
      <c r="T9" s="378"/>
      <c r="U9" s="385">
        <v>3110</v>
      </c>
      <c r="V9" s="392"/>
      <c r="W9" s="393" t="s">
        <v>176</v>
      </c>
      <c r="X9" s="357"/>
      <c r="Y9" s="394"/>
      <c r="Z9" s="395"/>
      <c r="AD9" s="357"/>
      <c r="AI9" s="237"/>
      <c r="AJ9" s="237"/>
    </row>
    <row r="10" spans="2:36" ht="15" customHeight="1" thickTop="1" thickBot="1" x14ac:dyDescent="0.3">
      <c r="B10" s="803"/>
      <c r="C10" s="802"/>
      <c r="D10" s="804"/>
      <c r="E10" s="802"/>
      <c r="F10" s="800"/>
      <c r="H10" s="1"/>
      <c r="I10" s="125" t="s">
        <v>12</v>
      </c>
      <c r="J10" s="189">
        <f>C9+E9</f>
        <v>0</v>
      </c>
      <c r="K10" s="69">
        <f>U27</f>
        <v>74</v>
      </c>
      <c r="L10" s="72">
        <f t="shared" si="0"/>
        <v>0</v>
      </c>
      <c r="M10" s="11" t="str">
        <f>IF(W27="","",W27)</f>
        <v/>
      </c>
      <c r="P10" s="362"/>
      <c r="Q10" s="375" t="str">
        <f t="shared" si="1"/>
        <v>Ln10</v>
      </c>
      <c r="R10" s="384" t="str">
        <f>IF(U8=U10,"OK",IF(J20&gt;U10,"WARN","OK"))</f>
        <v>OK</v>
      </c>
      <c r="S10" s="377" t="s">
        <v>170</v>
      </c>
      <c r="T10" s="378"/>
      <c r="U10" s="385">
        <v>2950</v>
      </c>
      <c r="V10" s="392"/>
      <c r="W10" s="393" t="s">
        <v>176</v>
      </c>
      <c r="X10" s="357"/>
      <c r="Y10" s="396" t="s">
        <v>155</v>
      </c>
      <c r="Z10" s="388">
        <v>2700</v>
      </c>
      <c r="AD10" s="357"/>
      <c r="AE10" s="389">
        <v>35.5</v>
      </c>
      <c r="AI10" s="237"/>
      <c r="AJ10" s="237"/>
    </row>
    <row r="11" spans="2:36" ht="15" customHeight="1" thickTop="1" thickBot="1" x14ac:dyDescent="0.3">
      <c r="B11" s="6" t="s">
        <v>25</v>
      </c>
      <c r="C11" s="800"/>
      <c r="D11" s="801"/>
      <c r="E11" s="801"/>
      <c r="F11" s="802"/>
      <c r="H11" s="1"/>
      <c r="I11" s="19" t="s">
        <v>13</v>
      </c>
      <c r="J11" s="189">
        <f>C11</f>
        <v>0</v>
      </c>
      <c r="K11" s="69">
        <f>U29</f>
        <v>97</v>
      </c>
      <c r="L11" s="72">
        <f t="shared" si="0"/>
        <v>0</v>
      </c>
      <c r="M11" s="11" t="str">
        <f>V29&amp;" lbs max ("&amp;V32&amp;" max baggage 1+2+3)"</f>
        <v>120 lbs max (200 max baggage 1+2+3)</v>
      </c>
      <c r="P11" s="362"/>
      <c r="Q11" s="375" t="str">
        <f t="shared" si="1"/>
        <v>Ln11</v>
      </c>
      <c r="R11" s="384" t="str">
        <f ca="1">IF(U8=U10,"OK",IF(J19&gt;U11,"WARN","OK"))</f>
        <v>OK</v>
      </c>
      <c r="S11" s="397" t="s">
        <v>171</v>
      </c>
      <c r="T11" s="398"/>
      <c r="U11" s="399">
        <f>U10</f>
        <v>2950</v>
      </c>
      <c r="V11" s="357"/>
      <c r="W11" s="357"/>
      <c r="X11" s="357"/>
      <c r="Y11" s="396" t="s">
        <v>50</v>
      </c>
      <c r="Z11" s="395"/>
      <c r="AA11" s="766" t="s">
        <v>1</v>
      </c>
      <c r="AB11" s="766"/>
      <c r="AD11" s="357"/>
      <c r="AF11" s="766" t="s">
        <v>154</v>
      </c>
      <c r="AG11" s="766"/>
      <c r="AI11" s="237"/>
      <c r="AJ11" s="237"/>
    </row>
    <row r="12" spans="2:36" ht="15" customHeight="1" thickTop="1" thickBot="1" x14ac:dyDescent="0.3">
      <c r="B12" s="6" t="s">
        <v>26</v>
      </c>
      <c r="C12" s="800"/>
      <c r="D12" s="801"/>
      <c r="E12" s="801"/>
      <c r="F12" s="802"/>
      <c r="H12" s="1"/>
      <c r="I12" s="19" t="s">
        <v>14</v>
      </c>
      <c r="J12" s="189">
        <f>C12</f>
        <v>0</v>
      </c>
      <c r="K12" s="69">
        <f>U30</f>
        <v>116</v>
      </c>
      <c r="L12" s="72">
        <f t="shared" si="0"/>
        <v>0</v>
      </c>
      <c r="M12" s="11" t="str">
        <f>V30&amp;" lbs max  ("&amp;V34&amp;" max baggage 2+3)"</f>
        <v>80 lbs max  (80 max baggage 2+3)</v>
      </c>
      <c r="P12" s="362"/>
      <c r="Q12" s="375" t="str">
        <f t="shared" si="1"/>
        <v>Ln12</v>
      </c>
      <c r="R12" s="391"/>
      <c r="S12" s="400" t="s">
        <v>7</v>
      </c>
      <c r="T12" s="391"/>
      <c r="U12" s="391"/>
      <c r="V12" s="392"/>
      <c r="W12" s="393" t="s">
        <v>176</v>
      </c>
      <c r="X12" s="357"/>
      <c r="Y12" s="396" t="s">
        <v>56</v>
      </c>
      <c r="Z12" s="388">
        <v>2240</v>
      </c>
      <c r="AA12" s="766" t="s">
        <v>153</v>
      </c>
      <c r="AB12" s="766"/>
      <c r="AD12" s="357"/>
      <c r="AE12" s="623">
        <f>AE16</f>
        <v>33</v>
      </c>
      <c r="AF12" s="766" t="s">
        <v>153</v>
      </c>
      <c r="AG12" s="766"/>
      <c r="AI12" s="237"/>
      <c r="AJ12" s="237"/>
    </row>
    <row r="13" spans="2:36" ht="15" customHeight="1" thickTop="1" x14ac:dyDescent="0.25">
      <c r="B13" s="508" t="s">
        <v>70</v>
      </c>
      <c r="D13" s="821"/>
      <c r="E13" s="821"/>
      <c r="H13" s="1"/>
      <c r="I13" s="19" t="s">
        <v>17</v>
      </c>
      <c r="J13" s="189">
        <f>D13</f>
        <v>0</v>
      </c>
      <c r="K13" s="69">
        <f>U31</f>
        <v>129</v>
      </c>
      <c r="L13" s="72">
        <f t="shared" si="0"/>
        <v>0</v>
      </c>
      <c r="M13" s="513" t="str">
        <f>V31&amp;" Lbs Max (on shelf)"</f>
        <v>80 Lbs Max (on shelf)</v>
      </c>
      <c r="P13" s="362"/>
      <c r="Q13" s="375" t="str">
        <f t="shared" si="1"/>
        <v>Ln13</v>
      </c>
      <c r="R13" s="391"/>
      <c r="S13" s="400" t="s">
        <v>194</v>
      </c>
      <c r="T13" s="391"/>
      <c r="U13" s="391"/>
      <c r="V13" s="392"/>
      <c r="W13" s="393" t="s">
        <v>176</v>
      </c>
      <c r="X13" s="357"/>
      <c r="Y13" s="396" t="s">
        <v>57</v>
      </c>
      <c r="Z13" s="395"/>
      <c r="AC13" s="767" t="s">
        <v>157</v>
      </c>
      <c r="AD13" s="357"/>
      <c r="AH13" s="767" t="s">
        <v>167</v>
      </c>
      <c r="AI13" s="237"/>
      <c r="AJ13" s="237"/>
    </row>
    <row r="14" spans="2:36" ht="15" customHeight="1" thickBot="1" x14ac:dyDescent="0.35">
      <c r="B14" s="3"/>
      <c r="C14" s="235"/>
      <c r="D14" s="2"/>
      <c r="E14" s="2"/>
      <c r="F14" s="40" t="str">
        <f>IF(R20="err","","(Std Fueling "&amp;T19&amp;" gal ("&amp;T20&amp;"))")</f>
        <v>(Std Fueling 64 gal (TABS))</v>
      </c>
      <c r="H14" s="1"/>
      <c r="I14" s="15" t="s">
        <v>6</v>
      </c>
      <c r="J14" s="71">
        <f>SUM(J7:J13)</f>
        <v>2423.06</v>
      </c>
      <c r="K14" s="26"/>
      <c r="L14" s="70">
        <f>SUM(L7:L13)</f>
        <v>98.847460000000012</v>
      </c>
      <c r="M14" s="11" t="str">
        <f>"Max Ramp Weight: "&amp;TEXT(U9,"#,###")&amp;IF(U8&lt;&gt;U10," - Landing "&amp;TEXT(U10,"#,###"),"")</f>
        <v>Max Ramp Weight: 3,110 - Landing 2,950</v>
      </c>
      <c r="P14" s="362"/>
      <c r="Q14" s="375" t="str">
        <f t="shared" si="1"/>
        <v>Ln14</v>
      </c>
      <c r="R14" s="391"/>
      <c r="S14" s="400" t="s">
        <v>24</v>
      </c>
      <c r="T14" s="391"/>
      <c r="U14" s="391"/>
      <c r="V14" s="392"/>
      <c r="W14" s="393" t="s">
        <v>177</v>
      </c>
      <c r="X14" s="357"/>
      <c r="Y14" s="396" t="s">
        <v>156</v>
      </c>
      <c r="Z14" s="395"/>
      <c r="AC14" s="767"/>
      <c r="AD14" s="357"/>
      <c r="AH14" s="767"/>
      <c r="AI14" s="237"/>
      <c r="AJ14" s="237"/>
    </row>
    <row r="15" spans="2:36" ht="15" customHeight="1" thickTop="1" thickBot="1" x14ac:dyDescent="0.3">
      <c r="B15" s="32" t="s">
        <v>88</v>
      </c>
      <c r="C15" s="4"/>
      <c r="D15" s="793">
        <v>64</v>
      </c>
      <c r="E15" s="793"/>
      <c r="F15" s="5" t="s">
        <v>36</v>
      </c>
      <c r="H15" s="1"/>
      <c r="I15" s="16" t="s">
        <v>15</v>
      </c>
      <c r="J15" s="585">
        <f>V21</f>
        <v>-10</v>
      </c>
      <c r="K15" s="69">
        <f>U18</f>
        <v>46.5</v>
      </c>
      <c r="L15" s="72">
        <f>ROUND((J15*K15)/1000,5)</f>
        <v>-0.46500000000000002</v>
      </c>
      <c r="M15" s="11" t="s">
        <v>16</v>
      </c>
      <c r="P15" s="362"/>
      <c r="Q15" s="375" t="str">
        <f t="shared" si="1"/>
        <v>Ln15</v>
      </c>
      <c r="R15" s="391"/>
      <c r="S15" s="400" t="s">
        <v>193</v>
      </c>
      <c r="T15" s="391"/>
      <c r="U15" s="391"/>
      <c r="V15" s="392"/>
      <c r="W15" s="393" t="s">
        <v>177</v>
      </c>
      <c r="X15" s="357"/>
      <c r="Y15" s="396" t="s">
        <v>47</v>
      </c>
      <c r="Z15" s="388">
        <v>1800</v>
      </c>
      <c r="AC15" s="792"/>
      <c r="AD15" s="357"/>
      <c r="AH15" s="792"/>
      <c r="AI15" s="237"/>
      <c r="AJ15" s="237"/>
    </row>
    <row r="16" spans="2:36" ht="15" customHeight="1" thickTop="1" thickBot="1" x14ac:dyDescent="0.25">
      <c r="B16" s="32" t="s">
        <v>35</v>
      </c>
      <c r="C16" s="2"/>
      <c r="D16" s="794"/>
      <c r="E16" s="795"/>
      <c r="F16" s="5" t="s">
        <v>108</v>
      </c>
      <c r="H16" s="1"/>
      <c r="I16" s="17" t="s">
        <v>7</v>
      </c>
      <c r="J16" s="126">
        <f ca="1">IF(expired=TRUE,9999,SUM(J14:J15))</f>
        <v>2413.06</v>
      </c>
      <c r="K16" s="73" t="s">
        <v>5</v>
      </c>
      <c r="L16" s="74">
        <f>SUM(L14:L15)</f>
        <v>98.382460000000009</v>
      </c>
      <c r="M16" s="110" t="str">
        <f>"Max Gross: "&amp;TEXT(U8,"#,##0")&amp;"   Useful Load: "&amp;TEXT(U37,"#,##0")</f>
        <v>Max Gross: 3,100   Useful Load: 1,060</v>
      </c>
      <c r="P16" s="362"/>
      <c r="Q16" s="401"/>
      <c r="R16" s="401"/>
      <c r="S16" s="401"/>
      <c r="T16" s="401"/>
      <c r="U16" s="401"/>
      <c r="V16" s="401"/>
      <c r="W16" s="401"/>
      <c r="X16" s="357"/>
      <c r="Y16" s="402"/>
      <c r="Z16" s="395"/>
      <c r="AC16" s="403">
        <f>AC8</f>
        <v>3100</v>
      </c>
      <c r="AD16" s="357"/>
      <c r="AE16" s="404">
        <v>33</v>
      </c>
      <c r="AF16" s="82"/>
      <c r="AG16" s="82"/>
      <c r="AH16" s="405">
        <f>AH8</f>
        <v>46</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40.770830397917997</v>
      </c>
      <c r="L17" s="75" t="s">
        <v>5</v>
      </c>
      <c r="M17" s="12" t="s">
        <v>9</v>
      </c>
      <c r="P17" s="362"/>
      <c r="Q17" s="370" t="s">
        <v>158</v>
      </c>
      <c r="R17" s="371"/>
      <c r="S17" s="371"/>
      <c r="T17" s="406" t="s">
        <v>174</v>
      </c>
      <c r="U17" s="372" t="s">
        <v>2</v>
      </c>
      <c r="V17" s="372" t="s">
        <v>1</v>
      </c>
      <c r="W17" s="373" t="s">
        <v>179</v>
      </c>
      <c r="X17" s="357"/>
      <c r="Y17" s="407"/>
      <c r="Z17" s="408"/>
      <c r="AD17" s="357"/>
      <c r="AE17" s="409"/>
      <c r="AF17" s="797" t="s">
        <v>161</v>
      </c>
      <c r="AG17" s="797"/>
      <c r="AH17" s="410"/>
      <c r="AI17" s="237"/>
      <c r="AJ17" s="237"/>
    </row>
    <row r="18" spans="2:36" ht="15" customHeight="1" thickTop="1" thickBot="1" x14ac:dyDescent="0.25">
      <c r="B18" s="32" t="s">
        <v>139</v>
      </c>
      <c r="D18" s="798">
        <f>D16*D17</f>
        <v>0</v>
      </c>
      <c r="E18" s="799"/>
      <c r="F18" s="5" t="s">
        <v>36</v>
      </c>
      <c r="H18" s="1"/>
      <c r="I18" s="23" t="s">
        <v>23</v>
      </c>
      <c r="J18" s="25">
        <f>D18*6*-1</f>
        <v>0</v>
      </c>
      <c r="K18" s="25">
        <f>K8</f>
        <v>46.5</v>
      </c>
      <c r="L18" s="92">
        <f>ROUND((J18*K18)/1000,5)</f>
        <v>0</v>
      </c>
      <c r="M18" s="29" t="s">
        <v>73</v>
      </c>
      <c r="P18" s="362"/>
      <c r="Q18" s="375" t="str">
        <f t="shared" si="1"/>
        <v>Ln18</v>
      </c>
      <c r="R18" s="384" t="str">
        <f>IF(D15&gt;T18,"ERR","OK")</f>
        <v>OK</v>
      </c>
      <c r="S18" s="548" t="s">
        <v>239</v>
      </c>
      <c r="T18" s="411">
        <v>87</v>
      </c>
      <c r="U18" s="380">
        <v>46.5</v>
      </c>
      <c r="V18" s="412">
        <f>T18*6</f>
        <v>522</v>
      </c>
      <c r="W18" s="393" t="s">
        <v>176</v>
      </c>
      <c r="X18" s="357"/>
      <c r="Y18" s="357"/>
      <c r="Z18" s="357"/>
      <c r="AA18" s="357"/>
      <c r="AB18" s="357"/>
      <c r="AC18" s="357"/>
      <c r="AD18" s="357"/>
      <c r="AE18" s="357"/>
      <c r="AF18" s="357"/>
      <c r="AG18" s="357"/>
      <c r="AH18" s="35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587">
        <f ca="1">SUM(J16:J18)</f>
        <v>2413.06</v>
      </c>
      <c r="K19" s="93"/>
      <c r="L19" s="24">
        <f>SUM(L16:L18)</f>
        <v>98.382460000000009</v>
      </c>
      <c r="M19" s="29" t="str">
        <f>IF(U8=U10,"Landing Weight Limit same as Takeoff Weight","Max Landing Weight  "&amp;TEXT(U10,"#,##0"))</f>
        <v>Max Landing Weight  2,950</v>
      </c>
      <c r="P19" s="362"/>
      <c r="Q19" s="375" t="str">
        <f t="shared" si="1"/>
        <v>Ln19</v>
      </c>
      <c r="R19" s="391"/>
      <c r="S19" s="549" t="s">
        <v>240</v>
      </c>
      <c r="T19" s="411">
        <v>64</v>
      </c>
      <c r="U19" s="413"/>
      <c r="V19" s="412">
        <f>T19*6</f>
        <v>384</v>
      </c>
      <c r="W19" s="357"/>
      <c r="X19" s="357"/>
      <c r="Y19" s="357"/>
      <c r="Z19" s="357"/>
      <c r="AA19" s="414" t="str">
        <f ca="1">IF(AA20&gt;U8,"OUT","OK")</f>
        <v>OK</v>
      </c>
      <c r="AB19" s="415" t="s">
        <v>164</v>
      </c>
      <c r="AC19" s="357"/>
      <c r="AD19" s="357"/>
      <c r="AE19" s="414" t="str">
        <f ca="1">IF(AA19="out","out",IF(AND(AE20&gt;=AG20,AE20&lt;=AH20),"OK","OUT"))</f>
        <v>OK</v>
      </c>
      <c r="AF19" s="357"/>
      <c r="AG19" s="357"/>
      <c r="AH19" s="357"/>
      <c r="AI19" s="237"/>
      <c r="AJ19" s="237"/>
    </row>
    <row r="20" spans="2:36" ht="15" customHeight="1" thickTop="1" thickBot="1" x14ac:dyDescent="0.25">
      <c r="B20" s="135" t="s">
        <v>132</v>
      </c>
      <c r="I20" s="28" t="s">
        <v>8</v>
      </c>
      <c r="J20" s="94"/>
      <c r="K20" s="589">
        <f ca="1">(L19*1000)/J19</f>
        <v>40.770830397917997</v>
      </c>
      <c r="L20" s="588"/>
      <c r="M20" s="30" t="s">
        <v>65</v>
      </c>
      <c r="P20" s="362"/>
      <c r="Q20" s="375" t="str">
        <f t="shared" si="1"/>
        <v>Ln20</v>
      </c>
      <c r="R20" s="83" t="str">
        <f>IF(AND(T18=T19,LEFT(T20,1)="F"),"OK",IF(AND(T18&lt;&gt;T19,LEFT(T20,1)&lt;&gt;"F"),"OK","ERR"))</f>
        <v>OK</v>
      </c>
      <c r="S20" s="547" t="s">
        <v>188</v>
      </c>
      <c r="T20" s="546" t="s">
        <v>187</v>
      </c>
      <c r="U20" s="397" t="s">
        <v>190</v>
      </c>
      <c r="V20" s="412"/>
      <c r="W20" s="392"/>
      <c r="X20" s="357"/>
      <c r="Y20" s="416" t="s">
        <v>47</v>
      </c>
      <c r="Z20" s="417" t="s">
        <v>1</v>
      </c>
      <c r="AA20" s="418">
        <f ca="1">J16</f>
        <v>2413.06</v>
      </c>
      <c r="AB20" s="419"/>
      <c r="AC20" s="420"/>
      <c r="AD20" s="421" t="s">
        <v>40</v>
      </c>
      <c r="AE20" s="422">
        <f ca="1">K17</f>
        <v>40.770830397917997</v>
      </c>
      <c r="AF20" s="423" t="s">
        <v>61</v>
      </c>
      <c r="AG20" s="424">
        <f ca="1">VLOOKUP(AA20,Z23:AH26,8,TRUE)</f>
        <v>33.939715800000002</v>
      </c>
      <c r="AH20" s="425">
        <f ca="1">VLOOKUP(AA20,Z23:AH26,9,TRUE)</f>
        <v>46</v>
      </c>
      <c r="AI20" s="237"/>
      <c r="AJ20" s="237"/>
    </row>
    <row r="21" spans="2:36" ht="13.5" thickTop="1" x14ac:dyDescent="0.2">
      <c r="B21" s="770"/>
      <c r="C21" s="772" t="str">
        <f ca="1">IF(OR(AA19="out",AE19="out"),"CAUTION:   Wt or CG Out of Limits","")</f>
        <v/>
      </c>
      <c r="D21" s="772"/>
      <c r="E21" s="772"/>
      <c r="F21" s="773"/>
      <c r="P21" s="362"/>
      <c r="Q21" s="375" t="str">
        <f t="shared" si="1"/>
        <v>Ln21</v>
      </c>
      <c r="R21" s="391"/>
      <c r="S21" s="548" t="s">
        <v>191</v>
      </c>
      <c r="T21" s="411">
        <v>1.7</v>
      </c>
      <c r="U21" s="413"/>
      <c r="V21" s="412">
        <f>ROUND(T21*6,0)*-1</f>
        <v>-10</v>
      </c>
      <c r="W21" s="357"/>
      <c r="X21" s="357"/>
      <c r="Y21" s="426" t="s">
        <v>48</v>
      </c>
      <c r="Z21" s="427"/>
      <c r="AA21" s="428" t="s">
        <v>67</v>
      </c>
      <c r="AB21" s="429"/>
      <c r="AC21" s="430"/>
      <c r="AD21" s="427"/>
      <c r="AE21" s="431" t="s">
        <v>66</v>
      </c>
      <c r="AF21" s="427"/>
      <c r="AG21" s="432" t="s">
        <v>46</v>
      </c>
      <c r="AH21" s="433" t="s">
        <v>46</v>
      </c>
      <c r="AI21" s="237"/>
      <c r="AJ21" s="237"/>
    </row>
    <row r="22" spans="2:36" ht="13.5" thickBot="1" x14ac:dyDescent="0.25">
      <c r="B22" s="771"/>
      <c r="C22" s="774"/>
      <c r="D22" s="774"/>
      <c r="E22" s="774"/>
      <c r="F22" s="775"/>
      <c r="P22" s="358"/>
      <c r="Q22" s="357"/>
      <c r="R22" s="391"/>
      <c r="S22" s="550" t="s">
        <v>15</v>
      </c>
      <c r="T22" s="391"/>
      <c r="U22" s="392"/>
      <c r="V22" s="391"/>
      <c r="W22" s="393" t="s">
        <v>177</v>
      </c>
      <c r="X22" s="357"/>
      <c r="Y22" s="426" t="s">
        <v>49</v>
      </c>
      <c r="Z22" s="434" t="s">
        <v>41</v>
      </c>
      <c r="AA22" s="434" t="s">
        <v>42</v>
      </c>
      <c r="AB22" s="435" t="s">
        <v>43</v>
      </c>
      <c r="AC22" s="436" t="s">
        <v>41</v>
      </c>
      <c r="AD22" s="437" t="s">
        <v>42</v>
      </c>
      <c r="AE22" s="438" t="s">
        <v>44</v>
      </c>
      <c r="AF22" s="439" t="s">
        <v>45</v>
      </c>
      <c r="AG22" s="440" t="s">
        <v>68</v>
      </c>
      <c r="AH22" s="441" t="s">
        <v>69</v>
      </c>
      <c r="AI22" s="237"/>
      <c r="AJ22" s="237"/>
    </row>
    <row r="23" spans="2:36" ht="13.5" thickTop="1" x14ac:dyDescent="0.2">
      <c r="B23" s="34" t="str">
        <f>IF(AND(R52&lt;&gt;"OK",R48&lt;&gt;"OK"),"Enter Fuel on Board","")</f>
        <v/>
      </c>
      <c r="C23" s="776" t="str">
        <f>IF(R53&lt;&gt;"OK","Fuel &lt;1-HR Reserve","")</f>
        <v/>
      </c>
      <c r="D23" s="776"/>
      <c r="E23" s="776"/>
      <c r="F23" s="777"/>
      <c r="I23" s="10" t="s">
        <v>64</v>
      </c>
      <c r="P23" s="358"/>
      <c r="Q23" s="401"/>
      <c r="R23" s="391"/>
      <c r="S23" s="550" t="s">
        <v>23</v>
      </c>
      <c r="T23" s="391"/>
      <c r="U23" s="392"/>
      <c r="V23" s="391"/>
      <c r="W23" s="393" t="s">
        <v>177</v>
      </c>
      <c r="X23" s="357"/>
      <c r="Y23" s="426" t="s">
        <v>50</v>
      </c>
      <c r="Z23" s="442">
        <f>Z15</f>
        <v>1800</v>
      </c>
      <c r="AA23" s="443">
        <f>Z12</f>
        <v>2240</v>
      </c>
      <c r="AB23" s="444">
        <f>+AA23-Z23</f>
        <v>440</v>
      </c>
      <c r="AC23" s="445">
        <f>AE16</f>
        <v>33</v>
      </c>
      <c r="AD23" s="446">
        <f>AE12</f>
        <v>33</v>
      </c>
      <c r="AE23" s="447">
        <f>AD23-AC23</f>
        <v>0</v>
      </c>
      <c r="AF23" s="448">
        <f>IF(OR(AB23=0,AE23=0),0,ROUND(AE23/AB23,5))</f>
        <v>0</v>
      </c>
      <c r="AG23" s="449">
        <f ca="1">IF(AND(AA20&gt;=Z23,AA20&lt;AA23),AC23+((AA20-Z23)*AF23),AC23)</f>
        <v>33</v>
      </c>
      <c r="AH23" s="450">
        <f>AD26</f>
        <v>46</v>
      </c>
      <c r="AI23" s="237"/>
      <c r="AJ23" s="237"/>
    </row>
    <row r="24" spans="2:36" ht="12.75" customHeight="1" x14ac:dyDescent="0.2">
      <c r="B24" s="77" t="str">
        <f>IF(AND(R52&lt;&gt;"OK",R49&lt;&gt;"OK"),"Enter GPH Usage","")</f>
        <v/>
      </c>
      <c r="C24" s="778" t="str">
        <f>IF(OR(R18&lt;&gt;"OK",R51&lt;&gt;"OK"),"Fueling Error","")</f>
        <v/>
      </c>
      <c r="D24" s="778"/>
      <c r="E24" s="778"/>
      <c r="F24" s="779"/>
      <c r="I24" s="9" t="s">
        <v>62</v>
      </c>
      <c r="P24" s="358"/>
      <c r="Q24" s="401"/>
      <c r="R24" s="401"/>
      <c r="S24" s="401"/>
      <c r="T24" s="401"/>
      <c r="U24" s="401"/>
      <c r="V24" s="401"/>
      <c r="W24" s="401"/>
      <c r="X24" s="357"/>
      <c r="Y24" s="426" t="s">
        <v>51</v>
      </c>
      <c r="Z24" s="451">
        <f>AA23</f>
        <v>2240</v>
      </c>
      <c r="AA24" s="452">
        <f>Z10</f>
        <v>2700</v>
      </c>
      <c r="AB24" s="453">
        <f>+AA24-Z24</f>
        <v>460</v>
      </c>
      <c r="AC24" s="454">
        <f>IF(AD24=AD23,AC23,AD23)</f>
        <v>33</v>
      </c>
      <c r="AD24" s="455">
        <f>AE10</f>
        <v>35.5</v>
      </c>
      <c r="AE24" s="447">
        <f>AD24-AC24</f>
        <v>2.5</v>
      </c>
      <c r="AF24" s="448">
        <f>IF(OR(AB24=0,AE24=0),0,ROUND(AE24/AB24,5))</f>
        <v>5.4299999999999999E-3</v>
      </c>
      <c r="AG24" s="449">
        <f ca="1">IF(AND(AA20&gt;=Z24,AA20&lt;AA24),AC24+((AA20-Z24)*AF24),AC24)</f>
        <v>33.939715800000002</v>
      </c>
      <c r="AH24" s="213">
        <f>AH23</f>
        <v>46</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358"/>
      <c r="Q25" s="370" t="s">
        <v>159</v>
      </c>
      <c r="R25" s="371"/>
      <c r="S25" s="371"/>
      <c r="T25" s="371"/>
      <c r="U25" s="372" t="s">
        <v>2</v>
      </c>
      <c r="V25" s="372" t="s">
        <v>1</v>
      </c>
      <c r="W25" s="373" t="s">
        <v>179</v>
      </c>
      <c r="X25" s="357"/>
      <c r="Y25" s="426" t="s">
        <v>52</v>
      </c>
      <c r="Z25" s="451">
        <f>AA24</f>
        <v>2700</v>
      </c>
      <c r="AA25" s="452">
        <f>AA8</f>
        <v>3100</v>
      </c>
      <c r="AB25" s="453">
        <f>+AA25-Z25</f>
        <v>400</v>
      </c>
      <c r="AC25" s="454">
        <f>IF(AD25=AD24,AC24,AD24)</f>
        <v>35.5</v>
      </c>
      <c r="AD25" s="455">
        <f>AF8</f>
        <v>40.9</v>
      </c>
      <c r="AE25" s="447">
        <f>AD25-AC25</f>
        <v>5.3999999999999986</v>
      </c>
      <c r="AF25" s="448">
        <f>IF(OR(AB25=0,AE25=0),0,ROUND(AE25/AB25,5))</f>
        <v>1.35E-2</v>
      </c>
      <c r="AG25" s="449">
        <f ca="1">IF(AND(AA20&gt;=Z25,AA20&lt;AA25),AC25+((AA20-Z25)*AF25),AC25)</f>
        <v>35.5</v>
      </c>
      <c r="AH25" s="213">
        <f>AH24</f>
        <v>46</v>
      </c>
      <c r="AI25" s="237"/>
      <c r="AJ25" s="237"/>
    </row>
    <row r="26" spans="2:36" ht="13.5" thickTop="1" x14ac:dyDescent="0.2">
      <c r="I26" s="8" t="str">
        <f>"R Front:  "&amp;IF(E7=0,"---",E7&amp;"#")</f>
        <v>R Front:  ---</v>
      </c>
      <c r="P26" s="358"/>
      <c r="Q26" s="375" t="str">
        <f t="shared" si="1"/>
        <v>Ln26</v>
      </c>
      <c r="R26" s="391"/>
      <c r="S26" s="456" t="s">
        <v>11</v>
      </c>
      <c r="T26" s="378"/>
      <c r="U26" s="380">
        <v>37</v>
      </c>
      <c r="V26" s="412">
        <f>C7+E7</f>
        <v>0</v>
      </c>
      <c r="W26" s="457"/>
      <c r="X26" s="357"/>
      <c r="Y26" s="458" t="s">
        <v>52</v>
      </c>
      <c r="Z26" s="459">
        <f>AA25</f>
        <v>3100</v>
      </c>
      <c r="AA26" s="460">
        <f>AC8</f>
        <v>3100</v>
      </c>
      <c r="AB26" s="461">
        <f>+AA26-Z26</f>
        <v>0</v>
      </c>
      <c r="AC26" s="462">
        <f>IF(AD26=AD25,AC25,AD25)</f>
        <v>40.9</v>
      </c>
      <c r="AD26" s="463">
        <f>AH8</f>
        <v>46</v>
      </c>
      <c r="AE26" s="464">
        <f>AD26-AC26</f>
        <v>5.1000000000000014</v>
      </c>
      <c r="AF26" s="465">
        <f>IF(OR(AB26=0,AE26=0),0,ROUND(AE26/AB26,5))</f>
        <v>0</v>
      </c>
      <c r="AG26" s="466">
        <f ca="1">IF(AND(AA20&gt;=Z26,AA20&lt;AA26),AC26+((AA20-Z26)*AF26),AC26)</f>
        <v>40.9</v>
      </c>
      <c r="AH26" s="217">
        <f>AH25</f>
        <v>46</v>
      </c>
      <c r="AI26" s="237"/>
      <c r="AJ26" s="237"/>
    </row>
    <row r="27" spans="2:36" ht="12.75" customHeight="1" x14ac:dyDescent="0.2">
      <c r="B27" s="60" t="s">
        <v>79</v>
      </c>
      <c r="H27" s="1"/>
      <c r="I27" s="8" t="str">
        <f>"L  Rear:  "&amp;IF(C9=0,"---",C9&amp;"#")</f>
        <v>L  Rear:  ---</v>
      </c>
      <c r="P27" s="358"/>
      <c r="Q27" s="375" t="str">
        <f t="shared" si="1"/>
        <v>Ln27</v>
      </c>
      <c r="R27" s="391"/>
      <c r="S27" s="456" t="s">
        <v>12</v>
      </c>
      <c r="T27" s="378"/>
      <c r="U27" s="380">
        <v>74</v>
      </c>
      <c r="V27" s="412">
        <f>C9+E9</f>
        <v>0</v>
      </c>
      <c r="W27" s="457"/>
      <c r="X27" s="357"/>
      <c r="Y27" s="357"/>
      <c r="Z27" s="357"/>
      <c r="AA27" s="357"/>
      <c r="AB27" s="357"/>
      <c r="AC27" s="357"/>
      <c r="AD27" s="357"/>
      <c r="AE27" s="357"/>
      <c r="AF27" s="357"/>
      <c r="AG27" s="357"/>
      <c r="AH27" s="357"/>
      <c r="AI27" s="237"/>
      <c r="AJ27" s="237"/>
    </row>
    <row r="28" spans="2:36" ht="13.5" thickBot="1" x14ac:dyDescent="0.25">
      <c r="B28" s="22" t="s">
        <v>127</v>
      </c>
      <c r="D28" s="782">
        <f>U37+(J15*-1)</f>
        <v>1070</v>
      </c>
      <c r="E28" s="783"/>
      <c r="F28" s="784" t="str">
        <f>"( "&amp;TEXT(U37,"#,##0")&amp;"+"&amp;J15*-1&amp;" )"</f>
        <v>( 1,060+10 )</v>
      </c>
      <c r="G28" s="785"/>
      <c r="H28" s="785"/>
      <c r="I28" s="8" t="str">
        <f>"R  Rear:  "&amp;IF(E9=0,"---",E9&amp;"#")</f>
        <v>R  Rear:  ---</v>
      </c>
      <c r="P28" s="358"/>
      <c r="Q28" s="357"/>
      <c r="R28" s="357"/>
      <c r="S28" s="357"/>
      <c r="T28" s="357"/>
      <c r="U28" s="413"/>
      <c r="V28" s="413"/>
      <c r="W28" s="357"/>
      <c r="X28" s="357"/>
      <c r="Y28" s="357"/>
      <c r="Z28" s="357"/>
      <c r="AA28" s="357"/>
      <c r="AB28" s="357"/>
      <c r="AC28" s="357"/>
      <c r="AD28" s="357"/>
      <c r="AE28" s="357"/>
      <c r="AF28" s="357"/>
      <c r="AG28" s="357"/>
      <c r="AH28" s="357"/>
      <c r="AI28" s="237"/>
      <c r="AJ28" s="237"/>
    </row>
    <row r="29" spans="2:36" ht="13.5" thickBot="1" x14ac:dyDescent="0.25">
      <c r="B29" s="22" t="s">
        <v>126</v>
      </c>
      <c r="D29" s="786">
        <f>SUM(J8:J13)</f>
        <v>384</v>
      </c>
      <c r="E29" s="787"/>
      <c r="I29" s="8" t="str">
        <f>"Bag 1:  "&amp;IF(C11=0,"---",C11&amp;"#")</f>
        <v>Bag 1:  ---</v>
      </c>
      <c r="P29" s="358"/>
      <c r="Q29" s="375" t="str">
        <f t="shared" si="1"/>
        <v>Ln29</v>
      </c>
      <c r="R29" s="467" t="str">
        <f>IF(C11&gt;V29,"ERR","OK")</f>
        <v>OK</v>
      </c>
      <c r="S29" s="456" t="s">
        <v>25</v>
      </c>
      <c r="T29" s="512">
        <f>C11</f>
        <v>0</v>
      </c>
      <c r="U29" s="380">
        <v>97</v>
      </c>
      <c r="V29" s="468">
        <v>120</v>
      </c>
      <c r="W29" s="393" t="s">
        <v>176</v>
      </c>
      <c r="X29" s="357"/>
      <c r="Y29" s="357"/>
      <c r="Z29" s="357"/>
      <c r="AA29" s="357"/>
      <c r="AB29" s="357"/>
      <c r="AC29" s="357"/>
      <c r="AD29" s="357"/>
      <c r="AE29" s="357"/>
      <c r="AF29" s="357"/>
      <c r="AG29" s="357"/>
      <c r="AH29" s="357"/>
      <c r="AI29" s="237"/>
      <c r="AJ29" s="237"/>
    </row>
    <row r="30" spans="2:36" ht="15.75" x14ac:dyDescent="0.3">
      <c r="B30" s="22" t="str">
        <f>IF(D29&lt;=D28,"Lbs before overweight","OVERWEIGHT")</f>
        <v>Lbs before overweight</v>
      </c>
      <c r="D30" s="788">
        <f>ABS(D28-D29)</f>
        <v>686</v>
      </c>
      <c r="E30" s="789"/>
      <c r="F30" s="790" t="str">
        <f>IF(D29&gt;D28,"# Over","")</f>
        <v/>
      </c>
      <c r="G30" s="791"/>
      <c r="H30" s="791"/>
      <c r="I30" s="8" t="str">
        <f>"Bag 2:  "&amp;IF(C12=0,"---",C12&amp;"#")</f>
        <v>Bag 2:  ---</v>
      </c>
      <c r="P30" s="358"/>
      <c r="Q30" s="375" t="str">
        <f t="shared" si="1"/>
        <v>Ln30</v>
      </c>
      <c r="R30" s="467" t="str">
        <f>IF(C12&gt;V30,"ERR","OK")</f>
        <v>OK</v>
      </c>
      <c r="S30" s="456" t="s">
        <v>26</v>
      </c>
      <c r="T30" s="512">
        <f>C12</f>
        <v>0</v>
      </c>
      <c r="U30" s="380">
        <v>116</v>
      </c>
      <c r="V30" s="468">
        <v>80</v>
      </c>
      <c r="W30" s="393" t="s">
        <v>176</v>
      </c>
      <c r="X30" s="357"/>
      <c r="Y30" s="357"/>
      <c r="Z30" s="472"/>
      <c r="AA30" s="473"/>
      <c r="AB30" s="474" t="s">
        <v>165</v>
      </c>
      <c r="AC30" s="371"/>
      <c r="AD30" s="371"/>
      <c r="AE30" s="371"/>
      <c r="AF30" s="371"/>
      <c r="AG30" s="371"/>
      <c r="AH30" s="357"/>
      <c r="AI30" s="237"/>
      <c r="AJ30" s="237"/>
    </row>
    <row r="31" spans="2:36" ht="15.75" thickBot="1" x14ac:dyDescent="0.3">
      <c r="P31" s="358"/>
      <c r="Q31" s="375" t="str">
        <f t="shared" si="1"/>
        <v>Ln31</v>
      </c>
      <c r="R31" s="511" t="str">
        <f>IF(D13&gt;V31,"ERR","OK")</f>
        <v>OK</v>
      </c>
      <c r="S31" s="509" t="s">
        <v>28</v>
      </c>
      <c r="T31" s="512">
        <f>D13</f>
        <v>0</v>
      </c>
      <c r="U31" s="380">
        <v>129</v>
      </c>
      <c r="V31" s="468">
        <v>80</v>
      </c>
      <c r="W31" s="393" t="s">
        <v>176</v>
      </c>
      <c r="X31" s="357"/>
      <c r="Y31" s="357"/>
      <c r="Z31" s="357"/>
      <c r="AA31" s="357"/>
      <c r="AB31" s="357"/>
      <c r="AC31" s="382" t="s">
        <v>162</v>
      </c>
      <c r="AD31" s="357"/>
      <c r="AE31" s="357"/>
      <c r="AF31" s="357"/>
      <c r="AG31" s="473"/>
      <c r="AH31" s="357"/>
      <c r="AI31" s="237"/>
      <c r="AJ31" s="237"/>
    </row>
    <row r="32" spans="2:36" ht="13.5" thickTop="1" x14ac:dyDescent="0.2">
      <c r="I32" s="8"/>
      <c r="P32" s="358"/>
      <c r="Q32" s="375" t="str">
        <f t="shared" si="1"/>
        <v>Ln32</v>
      </c>
      <c r="R32" s="511" t="str">
        <f>IF(C11+C12+D13&gt;V32,"ERR","OK")</f>
        <v>OK</v>
      </c>
      <c r="S32" s="510" t="s">
        <v>29</v>
      </c>
      <c r="T32" s="512">
        <f>SUM(C11,C12,D13)</f>
        <v>0</v>
      </c>
      <c r="U32" s="471"/>
      <c r="V32" s="468">
        <v>200</v>
      </c>
      <c r="W32" s="357"/>
      <c r="X32" s="357"/>
      <c r="Y32" s="476"/>
      <c r="Z32" s="477"/>
      <c r="AA32" s="478">
        <v>2950</v>
      </c>
      <c r="AC32" s="403">
        <f>AA32</f>
        <v>2950</v>
      </c>
      <c r="AD32" s="357"/>
      <c r="AF32" s="479">
        <v>41</v>
      </c>
      <c r="AH32" s="390">
        <v>46</v>
      </c>
      <c r="AI32" s="237"/>
      <c r="AJ32" s="237"/>
    </row>
    <row r="33" spans="8:36" x14ac:dyDescent="0.2">
      <c r="I33" s="9" t="s">
        <v>63</v>
      </c>
      <c r="P33" s="358"/>
      <c r="Q33" s="375" t="str">
        <f t="shared" si="1"/>
        <v>Ln33</v>
      </c>
      <c r="R33" s="511" t="str">
        <f>IF(C11+C12&gt;V33,"ERR","OK")</f>
        <v>OK</v>
      </c>
      <c r="S33" s="470" t="s">
        <v>30</v>
      </c>
      <c r="T33" s="512"/>
      <c r="U33" s="471"/>
      <c r="V33" s="468">
        <v>200</v>
      </c>
      <c r="W33" s="357"/>
      <c r="X33" s="357"/>
      <c r="Y33" s="480"/>
      <c r="Z33" s="82"/>
      <c r="AD33" s="357"/>
      <c r="AI33" s="237"/>
      <c r="AJ33" s="237"/>
    </row>
    <row r="34" spans="8:36" ht="13.5" x14ac:dyDescent="0.25">
      <c r="I34" s="10" t="str">
        <f>"Start:  "&amp;TEXT(D15,("###.0"))&amp;" USG"</f>
        <v>Start:  64.0 USG</v>
      </c>
      <c r="P34" s="358"/>
      <c r="Q34" s="375" t="str">
        <f t="shared" si="1"/>
        <v>Ln34</v>
      </c>
      <c r="R34" s="511" t="str">
        <f>IF(C12+D13&gt;V34,"ERR","OK")</f>
        <v>OK</v>
      </c>
      <c r="S34" s="510" t="s">
        <v>71</v>
      </c>
      <c r="T34" s="512"/>
      <c r="U34" s="471"/>
      <c r="V34" s="468">
        <v>80</v>
      </c>
      <c r="W34" s="357"/>
      <c r="X34" s="357"/>
      <c r="Y34" s="481" t="s">
        <v>155</v>
      </c>
      <c r="Z34" s="478">
        <v>2700</v>
      </c>
      <c r="AD34" s="357"/>
      <c r="AE34" s="483">
        <v>35.700000000000003</v>
      </c>
      <c r="AI34" s="237"/>
      <c r="AJ34" s="237"/>
    </row>
    <row r="35" spans="8:36" ht="13.5" x14ac:dyDescent="0.25">
      <c r="I35" s="10" t="str">
        <f>"Used:    "&amp;TEXT(D18,("###.0"))&amp;" USG"</f>
        <v>Used:    .0 USG</v>
      </c>
      <c r="P35" s="358"/>
      <c r="Q35" s="357"/>
      <c r="R35" s="357"/>
      <c r="S35" s="357"/>
      <c r="T35" s="357"/>
      <c r="U35" s="357"/>
      <c r="V35" s="357"/>
      <c r="W35" s="357"/>
      <c r="X35" s="357"/>
      <c r="Y35" s="481" t="s">
        <v>50</v>
      </c>
      <c r="Z35" s="82"/>
      <c r="AA35" s="766" t="s">
        <v>1</v>
      </c>
      <c r="AB35" s="766"/>
      <c r="AD35" s="357"/>
      <c r="AF35" s="766" t="s">
        <v>154</v>
      </c>
      <c r="AG35" s="766"/>
      <c r="AI35" s="237"/>
      <c r="AJ35" s="237"/>
    </row>
    <row r="36" spans="8:36" ht="13.5" x14ac:dyDescent="0.25">
      <c r="I36" s="10" t="str">
        <f>"Reserve:  "&amp;TEXT(D15-D18,"###.0")&amp;" USG"</f>
        <v>Reserve:  64.0 USG</v>
      </c>
      <c r="P36" s="358"/>
      <c r="Q36" s="370" t="s">
        <v>160</v>
      </c>
      <c r="R36" s="371"/>
      <c r="S36" s="371"/>
      <c r="T36" s="371"/>
      <c r="U36" s="482" t="s">
        <v>1</v>
      </c>
      <c r="V36" s="357"/>
      <c r="W36" s="357"/>
      <c r="X36" s="357"/>
      <c r="Y36" s="481" t="s">
        <v>56</v>
      </c>
      <c r="Z36" s="478">
        <v>2240</v>
      </c>
      <c r="AA36" s="766" t="s">
        <v>153</v>
      </c>
      <c r="AB36" s="766"/>
      <c r="AD36" s="357"/>
      <c r="AE36" s="628">
        <f>AE40</f>
        <v>33</v>
      </c>
      <c r="AF36" s="766" t="s">
        <v>153</v>
      </c>
      <c r="AG36" s="766"/>
      <c r="AI36" s="237"/>
      <c r="AJ36" s="237"/>
    </row>
    <row r="37" spans="8:36" ht="13.5" x14ac:dyDescent="0.25">
      <c r="P37" s="358"/>
      <c r="Q37" s="375" t="str">
        <f t="shared" ref="Q37:Q39" si="2">"Ln"&amp;ROW()</f>
        <v>Ln37</v>
      </c>
      <c r="R37" s="484"/>
      <c r="S37" s="400" t="s">
        <v>77</v>
      </c>
      <c r="T37" s="485"/>
      <c r="U37" s="486">
        <f>ROUNDDOWN(U8-U7,0)</f>
        <v>1060</v>
      </c>
      <c r="V37" s="357"/>
      <c r="W37" s="357"/>
      <c r="X37" s="357"/>
      <c r="Y37" s="481" t="s">
        <v>57</v>
      </c>
      <c r="Z37" s="82"/>
      <c r="AC37" s="767" t="s">
        <v>157</v>
      </c>
      <c r="AD37" s="357"/>
      <c r="AH37" s="767" t="s">
        <v>157</v>
      </c>
      <c r="AI37" s="237"/>
      <c r="AJ37" s="237"/>
    </row>
    <row r="38" spans="8:36" ht="13.5" x14ac:dyDescent="0.25">
      <c r="I38" s="9" t="s">
        <v>72</v>
      </c>
      <c r="P38" s="358"/>
      <c r="Q38" s="375" t="str">
        <f t="shared" si="2"/>
        <v>Ln38</v>
      </c>
      <c r="R38" s="484"/>
      <c r="S38" s="400" t="s">
        <v>76</v>
      </c>
      <c r="T38" s="485"/>
      <c r="U38" s="486">
        <f>IF(T19=0,"",U37-V19)</f>
        <v>676</v>
      </c>
      <c r="V38" s="357"/>
      <c r="W38" s="357"/>
      <c r="X38" s="357"/>
      <c r="Y38" s="481" t="s">
        <v>156</v>
      </c>
      <c r="Z38" s="82"/>
      <c r="AC38" s="767"/>
      <c r="AD38" s="357"/>
      <c r="AH38" s="767"/>
      <c r="AI38" s="237"/>
      <c r="AJ38" s="237"/>
    </row>
    <row r="39" spans="8:36" ht="13.5" x14ac:dyDescent="0.25">
      <c r="H39" s="7"/>
      <c r="I39" s="63" t="str">
        <f>IF(T42="","","Max Flight (NO Res)")</f>
        <v/>
      </c>
      <c r="P39" s="358"/>
      <c r="Q39" s="375" t="str">
        <f t="shared" si="2"/>
        <v>Ln39</v>
      </c>
      <c r="R39" s="484"/>
      <c r="S39" s="400" t="s">
        <v>78</v>
      </c>
      <c r="T39" s="487"/>
      <c r="U39" s="486">
        <f>U37-V18</f>
        <v>538</v>
      </c>
      <c r="V39" s="357"/>
      <c r="W39" s="357"/>
      <c r="X39" s="357"/>
      <c r="Y39" s="481" t="s">
        <v>47</v>
      </c>
      <c r="Z39" s="82"/>
      <c r="AC39" s="768"/>
      <c r="AD39" s="357"/>
      <c r="AH39" s="768"/>
      <c r="AI39" s="237"/>
      <c r="AJ39" s="237"/>
    </row>
    <row r="40" spans="8:36" x14ac:dyDescent="0.2">
      <c r="H40" s="7"/>
      <c r="I40" s="21" t="str">
        <f>IF(T42="","","~"&amp;TEXT(T42,("##.0"))&amp;" hrs")</f>
        <v/>
      </c>
      <c r="P40" s="358"/>
      <c r="Q40" s="357"/>
      <c r="R40" s="357"/>
      <c r="S40" s="357"/>
      <c r="T40" s="413"/>
      <c r="U40" s="413"/>
      <c r="V40" s="357"/>
      <c r="W40" s="357"/>
      <c r="X40" s="357"/>
      <c r="Y40" s="480"/>
      <c r="Z40" s="478">
        <v>1800</v>
      </c>
      <c r="AC40" s="403">
        <f>AC32</f>
        <v>2950</v>
      </c>
      <c r="AD40" s="357"/>
      <c r="AE40" s="489">
        <v>33</v>
      </c>
      <c r="AF40" s="82"/>
      <c r="AG40" s="82"/>
      <c r="AH40" s="490">
        <f>AH32</f>
        <v>46</v>
      </c>
      <c r="AI40" s="242"/>
      <c r="AJ40" s="242"/>
    </row>
    <row r="41" spans="8:36" ht="14.25" thickBot="1" x14ac:dyDescent="0.3">
      <c r="I41" s="61" t="str">
        <f>IF(T42="","","@ "&amp;TEXT(D16,"##.0")&amp;" GPH")</f>
        <v/>
      </c>
      <c r="P41" s="358"/>
      <c r="Q41" s="370" t="s">
        <v>119</v>
      </c>
      <c r="R41" s="371"/>
      <c r="S41" s="482"/>
      <c r="T41" s="488" t="s">
        <v>121</v>
      </c>
      <c r="U41" s="413"/>
      <c r="V41" s="357"/>
      <c r="W41" s="357"/>
      <c r="X41" s="357"/>
      <c r="Y41" s="494"/>
      <c r="Z41" s="495"/>
      <c r="AD41" s="357"/>
      <c r="AE41" s="496"/>
      <c r="AF41" s="769" t="s">
        <v>161</v>
      </c>
      <c r="AG41" s="769"/>
      <c r="AH41" s="497"/>
      <c r="AI41" s="237"/>
      <c r="AJ41" s="237"/>
    </row>
    <row r="42" spans="8:36" ht="13.5" thickTop="1" x14ac:dyDescent="0.2">
      <c r="I42" s="65" t="str">
        <f>IF(R52&lt;&gt;"OK","","  At end of ")</f>
        <v/>
      </c>
      <c r="P42" s="358"/>
      <c r="Q42" s="375" t="str">
        <f t="shared" ref="Q42:Q43" si="3">"Ln"&amp;ROW()</f>
        <v>Ln42</v>
      </c>
      <c r="R42" s="491" t="s">
        <v>91</v>
      </c>
      <c r="S42" s="492"/>
      <c r="T42" s="493" t="str">
        <f>IF(AND(D15&gt;0,D18&gt;0),ROUND(D15/D16,3),"")</f>
        <v/>
      </c>
      <c r="U42" s="413"/>
      <c r="V42" s="357"/>
      <c r="W42" s="357"/>
      <c r="X42" s="357"/>
      <c r="Y42" s="357"/>
      <c r="Z42" s="357"/>
      <c r="AA42" s="357"/>
      <c r="AB42" s="357"/>
      <c r="AC42" s="357"/>
      <c r="AD42" s="357"/>
      <c r="AE42" s="357"/>
      <c r="AF42" s="357"/>
      <c r="AG42" s="357"/>
      <c r="AH42" s="357"/>
      <c r="AI42" s="237"/>
      <c r="AJ42" s="237"/>
    </row>
    <row r="43" spans="8:36" ht="13.5" thickBot="1" x14ac:dyDescent="0.25">
      <c r="I43" s="66" t="str">
        <f>IF(R52&lt;&gt;"OK","",TEXT(D17,"##.0")&amp;" Hr Trip . . ")</f>
        <v/>
      </c>
      <c r="P43" s="358"/>
      <c r="Q43" s="375" t="str">
        <f t="shared" si="3"/>
        <v>Ln43</v>
      </c>
      <c r="R43" s="491" t="s">
        <v>95</v>
      </c>
      <c r="S43" s="492"/>
      <c r="T43" s="493" t="str">
        <f>IF(AND(D15&gt;0,D16&gt;0,D18&gt;0),ROUND((D15-D18)/D16,3),"")</f>
        <v/>
      </c>
      <c r="U43" s="413"/>
      <c r="V43" s="357"/>
      <c r="W43" s="357"/>
      <c r="X43" s="357"/>
      <c r="Y43" s="357"/>
      <c r="Z43" s="357"/>
      <c r="AA43" s="498" t="str">
        <f ca="1">IF(U8=U10,"OK",IF(AA44&gt;U10,"OUT","OK"))</f>
        <v>OK</v>
      </c>
      <c r="AB43" s="415" t="s">
        <v>164</v>
      </c>
      <c r="AC43" s="357"/>
      <c r="AD43" s="357"/>
      <c r="AE43" s="498" t="str">
        <f ca="1">IF(U8=U10,"OK",IF(AND(AE44&gt;=AG44,AE44&lt;=AH44),"OK","OUT"))</f>
        <v>OK</v>
      </c>
      <c r="AF43" s="357"/>
      <c r="AG43" s="357"/>
      <c r="AH43" s="357"/>
      <c r="AI43" s="237"/>
      <c r="AJ43" s="237"/>
    </row>
    <row r="44" spans="8:36" ht="14.25" thickTop="1" thickBot="1" x14ac:dyDescent="0.25">
      <c r="I44" s="62" t="str">
        <f>IF(R52&lt;&gt;"OK","","Reserve is ~ "&amp;TEXT(T43,"##.0")&amp;" Hrs")</f>
        <v/>
      </c>
      <c r="P44" s="358"/>
      <c r="Q44" s="357"/>
      <c r="R44" s="357"/>
      <c r="S44" s="357"/>
      <c r="T44" s="357"/>
      <c r="U44" s="357"/>
      <c r="V44" s="357"/>
      <c r="W44" s="357"/>
      <c r="X44" s="357"/>
      <c r="Y44" s="416" t="s">
        <v>53</v>
      </c>
      <c r="Z44" s="417" t="s">
        <v>1</v>
      </c>
      <c r="AA44" s="499">
        <f ca="1">J19</f>
        <v>2413.06</v>
      </c>
      <c r="AB44" s="419"/>
      <c r="AC44" s="420"/>
      <c r="AD44" s="500" t="s">
        <v>40</v>
      </c>
      <c r="AE44" s="499">
        <f ca="1">K20</f>
        <v>40.770830397917997</v>
      </c>
      <c r="AF44" s="423" t="s">
        <v>61</v>
      </c>
      <c r="AG44" s="501">
        <f ca="1">VLOOKUP(AA44,Z47:AH50,8)</f>
        <v>34.015862200000001</v>
      </c>
      <c r="AH44" s="502">
        <f ca="1">VLOOKUP(AA44,Z47:AH50,9)</f>
        <v>46</v>
      </c>
      <c r="AI44" s="237"/>
      <c r="AJ44" s="237"/>
    </row>
    <row r="45" spans="8:36" ht="13.5" thickTop="1" x14ac:dyDescent="0.2">
      <c r="I45" s="64" t="str">
        <f>IF(R52&lt;&gt;"OK","",IF(R53&lt;&gt;"OK","Caution: &lt; 1 HR",""))</f>
        <v/>
      </c>
      <c r="P45" s="358"/>
      <c r="Q45" s="370" t="s">
        <v>175</v>
      </c>
      <c r="R45" s="371"/>
      <c r="S45" s="482"/>
      <c r="T45" s="482"/>
      <c r="U45" s="357"/>
      <c r="V45" s="357"/>
      <c r="W45" s="357"/>
      <c r="X45" s="357"/>
      <c r="Y45" s="426" t="s">
        <v>48</v>
      </c>
      <c r="Z45" s="427"/>
      <c r="AA45" s="428" t="s">
        <v>67</v>
      </c>
      <c r="AB45" s="429"/>
      <c r="AC45" s="430"/>
      <c r="AD45" s="427"/>
      <c r="AE45" s="431" t="s">
        <v>66</v>
      </c>
      <c r="AF45" s="427"/>
      <c r="AG45" s="432" t="s">
        <v>46</v>
      </c>
      <c r="AH45" s="433" t="s">
        <v>46</v>
      </c>
      <c r="AI45" s="237"/>
      <c r="AJ45" s="237"/>
    </row>
    <row r="46" spans="8:36" ht="13.5" thickBot="1" x14ac:dyDescent="0.25">
      <c r="P46" s="358"/>
      <c r="Q46" s="375" t="str">
        <f t="shared" ref="Q46:Q53" si="4">"Ln"&amp;ROW()</f>
        <v>Ln46</v>
      </c>
      <c r="R46" s="503" t="str">
        <f>IF(AND(C7="",(E7+C9+E9)&gt;0),"WARN","OK")</f>
        <v>OK</v>
      </c>
      <c r="S46" s="504" t="s">
        <v>89</v>
      </c>
      <c r="T46" s="505"/>
      <c r="U46" s="357"/>
      <c r="V46" s="357"/>
      <c r="W46" s="357"/>
      <c r="X46" s="357"/>
      <c r="Y46" s="426" t="s">
        <v>54</v>
      </c>
      <c r="Z46" s="434" t="s">
        <v>41</v>
      </c>
      <c r="AA46" s="434" t="s">
        <v>42</v>
      </c>
      <c r="AB46" s="435" t="s">
        <v>43</v>
      </c>
      <c r="AC46" s="436" t="s">
        <v>41</v>
      </c>
      <c r="AD46" s="437" t="s">
        <v>42</v>
      </c>
      <c r="AE46" s="438" t="s">
        <v>44</v>
      </c>
      <c r="AF46" s="439" t="s">
        <v>45</v>
      </c>
      <c r="AG46" s="440" t="s">
        <v>68</v>
      </c>
      <c r="AH46" s="441" t="s">
        <v>69</v>
      </c>
      <c r="AI46" s="237"/>
      <c r="AJ46" s="237"/>
    </row>
    <row r="47" spans="8:36" ht="13.5" thickTop="1" x14ac:dyDescent="0.2">
      <c r="P47" s="358"/>
      <c r="Q47" s="375" t="str">
        <f t="shared" si="4"/>
        <v>Ln47</v>
      </c>
      <c r="R47" s="503" t="str">
        <f>IF(C7+E7+C9+E9&gt;0,"INFO","OK")</f>
        <v>OK</v>
      </c>
      <c r="S47" s="504" t="s">
        <v>92</v>
      </c>
      <c r="T47" s="505"/>
      <c r="U47" s="357"/>
      <c r="V47" s="357"/>
      <c r="W47" s="357"/>
      <c r="X47" s="357"/>
      <c r="Y47" s="426" t="s">
        <v>55</v>
      </c>
      <c r="Z47" s="442">
        <f>Z40</f>
        <v>1800</v>
      </c>
      <c r="AA47" s="443">
        <f>Z36</f>
        <v>2240</v>
      </c>
      <c r="AB47" s="444">
        <f>+AA47-Z47</f>
        <v>440</v>
      </c>
      <c r="AC47" s="445">
        <f>AE40</f>
        <v>33</v>
      </c>
      <c r="AD47" s="446">
        <f>AE36</f>
        <v>33</v>
      </c>
      <c r="AE47" s="447">
        <f>AD47-AC47</f>
        <v>0</v>
      </c>
      <c r="AF47" s="448">
        <f>IF(OR(AB47=0,AE47=0),0,ROUND(AE47/AB47,5))</f>
        <v>0</v>
      </c>
      <c r="AG47" s="449">
        <f ca="1">IF(AND(AA44&gt;=Z47,AA44&lt;AA47),AC47+((AA44-Z47)*AF47),AC47)</f>
        <v>33</v>
      </c>
      <c r="AH47" s="450">
        <f>AD50</f>
        <v>46</v>
      </c>
      <c r="AI47" s="237"/>
      <c r="AJ47" s="237"/>
    </row>
    <row r="48" spans="8:36" x14ac:dyDescent="0.2">
      <c r="P48" s="358"/>
      <c r="Q48" s="375" t="str">
        <f t="shared" si="4"/>
        <v>Ln48</v>
      </c>
      <c r="R48" s="503" t="str">
        <f>IF(AND(C7&gt;0,D15=0),"WARN","OK")</f>
        <v>OK</v>
      </c>
      <c r="S48" s="506" t="s">
        <v>111</v>
      </c>
      <c r="T48" s="507"/>
      <c r="U48" s="357"/>
      <c r="V48" s="357"/>
      <c r="W48" s="357"/>
      <c r="X48" s="357"/>
      <c r="Y48" s="426" t="s">
        <v>56</v>
      </c>
      <c r="Z48" s="451">
        <f>AA47</f>
        <v>2240</v>
      </c>
      <c r="AA48" s="452">
        <f>Z34</f>
        <v>2700</v>
      </c>
      <c r="AB48" s="453">
        <f>+AA48-Z48</f>
        <v>460</v>
      </c>
      <c r="AC48" s="454">
        <f>IF(AD48=AD47,AC47,AD47)</f>
        <v>33</v>
      </c>
      <c r="AD48" s="455">
        <f>AE34</f>
        <v>35.700000000000003</v>
      </c>
      <c r="AE48" s="447">
        <f>AD48-AC48</f>
        <v>2.7000000000000028</v>
      </c>
      <c r="AF48" s="448">
        <f>IF(OR(AB48=0,AE48=0),0,ROUND(AE48/AB48,5))</f>
        <v>5.8700000000000002E-3</v>
      </c>
      <c r="AG48" s="449">
        <f ca="1">IF(AND(AA44&gt;=Z48,AA44&lt;AA48),AC48+((AA44-Z48)*AF48),AC48)</f>
        <v>34.015862200000001</v>
      </c>
      <c r="AH48" s="213">
        <f>AH47</f>
        <v>46</v>
      </c>
      <c r="AI48" s="237"/>
      <c r="AJ48" s="237"/>
    </row>
    <row r="49" spans="8:36" x14ac:dyDescent="0.2">
      <c r="P49" s="358"/>
      <c r="Q49" s="375" t="str">
        <f t="shared" si="4"/>
        <v>Ln49</v>
      </c>
      <c r="R49" s="503" t="str">
        <f>IF(AND(C7&gt;0,D16=0),"WARN","OK")</f>
        <v>OK</v>
      </c>
      <c r="S49" s="506" t="s">
        <v>113</v>
      </c>
      <c r="T49" s="507"/>
      <c r="U49" s="357"/>
      <c r="V49" s="357"/>
      <c r="W49" s="357"/>
      <c r="X49" s="357"/>
      <c r="Y49" s="426" t="s">
        <v>54</v>
      </c>
      <c r="Z49" s="451">
        <f>AA48</f>
        <v>2700</v>
      </c>
      <c r="AA49" s="452">
        <f>AA32</f>
        <v>2950</v>
      </c>
      <c r="AB49" s="453">
        <f>+AA49-Z49</f>
        <v>250</v>
      </c>
      <c r="AC49" s="454">
        <f>IF(AD49=AD48,AC48,AD48)</f>
        <v>35.700000000000003</v>
      </c>
      <c r="AD49" s="455">
        <f>AF32</f>
        <v>41</v>
      </c>
      <c r="AE49" s="447">
        <f>AD49-AC49</f>
        <v>5.2999999999999972</v>
      </c>
      <c r="AF49" s="448">
        <f>IF(OR(AB49=0,AE49=0),0,ROUND(AE49/AB49,5))</f>
        <v>2.12E-2</v>
      </c>
      <c r="AG49" s="449">
        <f ca="1">IF(AND(AA44&gt;=Z49,AA44&lt;AA49),AC49+((AA44-Z49)*AF49),AC49)</f>
        <v>35.700000000000003</v>
      </c>
      <c r="AH49" s="213">
        <f>AH48</f>
        <v>46</v>
      </c>
      <c r="AI49" s="237"/>
      <c r="AJ49" s="237"/>
    </row>
    <row r="50" spans="8:36" ht="13.5" thickBot="1" x14ac:dyDescent="0.25">
      <c r="P50" s="358"/>
      <c r="Q50" s="375" t="str">
        <f t="shared" si="4"/>
        <v>Ln50</v>
      </c>
      <c r="R50" s="503" t="str">
        <f>IF(AND(C7&gt;0,D17=0),"WARN","OK")</f>
        <v>OK</v>
      </c>
      <c r="S50" s="506" t="s">
        <v>112</v>
      </c>
      <c r="T50" s="507"/>
      <c r="U50" s="357"/>
      <c r="V50" s="357"/>
      <c r="W50" s="357"/>
      <c r="X50" s="357"/>
      <c r="Y50" s="458" t="s">
        <v>57</v>
      </c>
      <c r="Z50" s="459">
        <f>AA49</f>
        <v>2950</v>
      </c>
      <c r="AA50" s="460">
        <f>AC32</f>
        <v>2950</v>
      </c>
      <c r="AB50" s="461">
        <f>+AA50-Z50</f>
        <v>0</v>
      </c>
      <c r="AC50" s="462">
        <f>IF(AD50=AD49,AC49,AD49)</f>
        <v>41</v>
      </c>
      <c r="AD50" s="463">
        <f>AH32</f>
        <v>46</v>
      </c>
      <c r="AE50" s="464">
        <f>AD50-AC50</f>
        <v>5</v>
      </c>
      <c r="AF50" s="465">
        <f>IF(OR(AB50=0,AE50=0),0,ROUND(AE50/AB50,5))</f>
        <v>0</v>
      </c>
      <c r="AG50" s="466">
        <f ca="1">IF(AND(AA44&gt;=Z50,AA44&lt;AA50),AC50+((AA44-Z50)*AF50),AC50)</f>
        <v>41</v>
      </c>
      <c r="AH50" s="217">
        <f>AH49</f>
        <v>46</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358"/>
      <c r="Q51" s="375" t="str">
        <f t="shared" si="4"/>
        <v>Ln51</v>
      </c>
      <c r="R51" s="503" t="str">
        <f>IF(D18&gt;D15,"ERR","OK")</f>
        <v>OK</v>
      </c>
      <c r="S51" s="506" t="s">
        <v>94</v>
      </c>
      <c r="T51" s="507"/>
      <c r="U51" s="357"/>
      <c r="V51" s="357"/>
      <c r="W51" s="357"/>
      <c r="X51" s="357"/>
      <c r="Y51" s="357"/>
      <c r="Z51" s="357"/>
      <c r="AA51" s="357"/>
      <c r="AB51" s="357"/>
      <c r="AC51" s="357"/>
      <c r="AD51" s="357"/>
      <c r="AE51" s="357"/>
      <c r="AF51" s="357"/>
      <c r="AG51" s="357"/>
      <c r="AH51" s="357"/>
      <c r="AI51" s="237"/>
      <c r="AJ51" s="237"/>
    </row>
    <row r="52" spans="8:36" x14ac:dyDescent="0.2">
      <c r="I52" s="758"/>
      <c r="J52" s="762"/>
      <c r="K52" s="762"/>
      <c r="L52" s="762"/>
      <c r="M52" s="763"/>
      <c r="P52" s="358"/>
      <c r="Q52" s="375" t="str">
        <f t="shared" si="4"/>
        <v>Ln52</v>
      </c>
      <c r="R52" s="503" t="str">
        <f>IF(OR(D15=0,D16=0,D17=0),"WARN","OK")</f>
        <v>WARN</v>
      </c>
      <c r="S52" s="506" t="s">
        <v>110</v>
      </c>
      <c r="T52" s="507"/>
      <c r="U52" s="357"/>
      <c r="V52" s="357"/>
      <c r="W52" s="357"/>
      <c r="X52" s="357"/>
      <c r="Y52" s="357"/>
      <c r="Z52" s="357"/>
      <c r="AA52" s="357"/>
      <c r="AB52" s="357"/>
      <c r="AC52" s="357"/>
      <c r="AD52" s="357"/>
      <c r="AE52" s="357"/>
      <c r="AF52" s="357"/>
      <c r="AG52" s="357"/>
      <c r="AH52" s="357"/>
      <c r="AI52" s="237"/>
      <c r="AJ52" s="237"/>
    </row>
    <row r="53" spans="8:36" ht="13.5" thickBot="1" x14ac:dyDescent="0.25">
      <c r="I53" s="759"/>
      <c r="J53" s="764"/>
      <c r="K53" s="764"/>
      <c r="L53" s="764"/>
      <c r="M53" s="765"/>
      <c r="P53" s="358"/>
      <c r="Q53" s="375" t="str">
        <f t="shared" si="4"/>
        <v>Ln53</v>
      </c>
      <c r="R53" s="503" t="str">
        <f>IF(AND(D15&gt;0,D16&gt;0,D18&gt;0,T43&lt;1),"WARN","OK")</f>
        <v>OK</v>
      </c>
      <c r="S53" s="506" t="s">
        <v>90</v>
      </c>
      <c r="T53" s="507"/>
      <c r="U53" s="357"/>
      <c r="V53" s="357"/>
      <c r="W53" s="357"/>
      <c r="X53" s="357"/>
      <c r="Y53" s="357"/>
      <c r="Z53" s="357"/>
      <c r="AA53" s="357"/>
      <c r="AB53" s="357"/>
      <c r="AC53" s="357"/>
      <c r="AD53" s="357"/>
      <c r="AE53" s="357"/>
      <c r="AF53" s="357"/>
      <c r="AG53" s="357"/>
      <c r="AH53" s="357"/>
      <c r="AI53" s="237"/>
      <c r="AJ53" s="237"/>
    </row>
    <row r="54" spans="8:36" ht="13.5" thickTop="1" x14ac:dyDescent="0.2">
      <c r="I54" s="650" t="str">
        <f>IF(C4&lt;&gt;9999,"","Env "&amp;Z23&amp;"  "&amp;AA23&amp;"  "&amp;AA24&amp;"  "&amp;AA25&amp;"  "&amp;AA26&amp;"     "&amp;AC23&amp;"  "&amp;AD23&amp;"  "&amp;AD24&amp;"  "&amp;AD25&amp;"  "&amp;AD26)</f>
        <v/>
      </c>
      <c r="P54" s="358"/>
      <c r="Q54" s="357"/>
      <c r="R54" s="357"/>
      <c r="S54" s="357"/>
      <c r="T54" s="357"/>
      <c r="U54" s="357"/>
      <c r="V54" s="357"/>
      <c r="W54" s="357"/>
      <c r="X54" s="357"/>
      <c r="Y54" s="357"/>
      <c r="Z54" s="357"/>
      <c r="AA54" s="357"/>
      <c r="AB54" s="357"/>
      <c r="AC54" s="357"/>
      <c r="AD54" s="357"/>
      <c r="AE54" s="357"/>
      <c r="AF54" s="357"/>
      <c r="AG54" s="357"/>
      <c r="AH54" s="357"/>
      <c r="AI54" s="237"/>
      <c r="AJ54" s="237"/>
    </row>
    <row r="55" spans="8:36" x14ac:dyDescent="0.2">
      <c r="I55" s="651" t="str">
        <f>IF(C4&lt;&gt;9999,"","Fuel  T "&amp;T19&amp;"   F "&amp;T18&amp;"      Load   0 "&amp;U37&amp;"  T "&amp;U38&amp;"  F "&amp;U39)</f>
        <v/>
      </c>
      <c r="P55" s="358"/>
      <c r="Q55" s="357"/>
      <c r="R55" s="357"/>
      <c r="S55" s="357"/>
      <c r="T55" s="357"/>
      <c r="U55" s="357"/>
      <c r="V55" s="357"/>
      <c r="W55" s="357"/>
      <c r="X55" s="357"/>
      <c r="Y55" s="357"/>
      <c r="Z55" s="357"/>
      <c r="AA55" s="357"/>
      <c r="AB55" s="357"/>
      <c r="AC55" s="357"/>
      <c r="AD55" s="357"/>
      <c r="AE55" s="357"/>
      <c r="AF55" s="357"/>
      <c r="AG55" s="357"/>
      <c r="AH55" s="357"/>
      <c r="AI55" s="237"/>
      <c r="AJ55" s="237"/>
    </row>
    <row r="56" spans="8:36" x14ac:dyDescent="0.2">
      <c r="P56" s="358"/>
      <c r="Q56" s="357"/>
      <c r="R56" s="357"/>
      <c r="S56" s="357"/>
      <c r="T56" s="357"/>
      <c r="U56" s="357"/>
      <c r="V56" s="357"/>
      <c r="W56" s="357"/>
      <c r="X56" s="357"/>
      <c r="Y56" s="357"/>
      <c r="Z56" s="357"/>
      <c r="AA56" s="357"/>
      <c r="AB56" s="357"/>
      <c r="AC56" s="357"/>
      <c r="AD56" s="357"/>
      <c r="AE56" s="357"/>
      <c r="AF56" s="357"/>
      <c r="AG56" s="357"/>
      <c r="AH56" s="357"/>
      <c r="AI56" s="237"/>
      <c r="AJ56" s="237"/>
    </row>
  </sheetData>
  <sheetProtection algorithmName="SHA-512" hashValue="aw4nGa6wRn8AE4m3dtcfuNEgtkK4SohLPEYi0f3PQyCu4J/RoT9GkPH5t2KCdTw89N4FpKAshHWLSzeyEqWUUw==" saltValue="VEvVIRj72ZCq81euRvXAPw==" spinCount="100000" sheet="1" selectLockedCells="1"/>
  <mergeCells count="45">
    <mergeCell ref="C4:D4"/>
    <mergeCell ref="B1:H1"/>
    <mergeCell ref="C2:E2"/>
    <mergeCell ref="J2:K2"/>
    <mergeCell ref="D3:F3"/>
    <mergeCell ref="J3:K3"/>
    <mergeCell ref="B7:B8"/>
    <mergeCell ref="C7:D8"/>
    <mergeCell ref="E7:F8"/>
    <mergeCell ref="B9:B10"/>
    <mergeCell ref="C9:D10"/>
    <mergeCell ref="E9:F10"/>
    <mergeCell ref="C11:F11"/>
    <mergeCell ref="AA11:AB11"/>
    <mergeCell ref="AF11:AG11"/>
    <mergeCell ref="C12:F12"/>
    <mergeCell ref="AA12:AB12"/>
    <mergeCell ref="AF12:AG12"/>
    <mergeCell ref="AH13:AH15"/>
    <mergeCell ref="D15:E15"/>
    <mergeCell ref="D16:E16"/>
    <mergeCell ref="B21:B22"/>
    <mergeCell ref="C21:F22"/>
    <mergeCell ref="D17:E17"/>
    <mergeCell ref="AF17:AG17"/>
    <mergeCell ref="D18:E18"/>
    <mergeCell ref="D13:E13"/>
    <mergeCell ref="AC13:AC15"/>
    <mergeCell ref="C23:F23"/>
    <mergeCell ref="C24:F24"/>
    <mergeCell ref="AH37:AH39"/>
    <mergeCell ref="C25:F25"/>
    <mergeCell ref="D28:E28"/>
    <mergeCell ref="F28:H28"/>
    <mergeCell ref="D29:E29"/>
    <mergeCell ref="D30:E30"/>
    <mergeCell ref="F30:H30"/>
    <mergeCell ref="I51:I53"/>
    <mergeCell ref="J51:M53"/>
    <mergeCell ref="AF35:AG35"/>
    <mergeCell ref="AA36:AB36"/>
    <mergeCell ref="AF36:AG36"/>
    <mergeCell ref="AC37:AC39"/>
    <mergeCell ref="AF41:AG41"/>
    <mergeCell ref="AA35:AB35"/>
  </mergeCells>
  <conditionalFormatting sqref="T37:T38">
    <cfRule type="expression" dxfId="712" priority="18" stopIfTrue="1">
      <formula>S37=""</formula>
    </cfRule>
  </conditionalFormatting>
  <conditionalFormatting sqref="I26 I28">
    <cfRule type="expression" dxfId="711" priority="19" stopIfTrue="1">
      <formula>E7=""</formula>
    </cfRule>
  </conditionalFormatting>
  <conditionalFormatting sqref="I27 I29:I30">
    <cfRule type="expression" dxfId="710" priority="20" stopIfTrue="1">
      <formula>C9=""</formula>
    </cfRule>
  </conditionalFormatting>
  <conditionalFormatting sqref="U37:U39 V19">
    <cfRule type="expression" dxfId="709" priority="21" stopIfTrue="1">
      <formula>S19=""</formula>
    </cfRule>
  </conditionalFormatting>
  <conditionalFormatting sqref="C25">
    <cfRule type="expression" dxfId="708" priority="22" stopIfTrue="1">
      <formula>AND(C7="",E7+C9+E9&gt;0)</formula>
    </cfRule>
  </conditionalFormatting>
  <conditionalFormatting sqref="B30">
    <cfRule type="expression" dxfId="707" priority="23" stopIfTrue="1">
      <formula>D29&gt;D28</formula>
    </cfRule>
  </conditionalFormatting>
  <conditionalFormatting sqref="D30:E30">
    <cfRule type="expression" dxfId="706" priority="24" stopIfTrue="1">
      <formula>D29&gt;D28</formula>
    </cfRule>
  </conditionalFormatting>
  <conditionalFormatting sqref="F30:H30">
    <cfRule type="expression" dxfId="705" priority="25" stopIfTrue="1">
      <formula>D29&gt;D28</formula>
    </cfRule>
  </conditionalFormatting>
  <conditionalFormatting sqref="B23 B25">
    <cfRule type="cellIs" dxfId="704" priority="26" stopIfTrue="1" operator="notEqual">
      <formula>""</formula>
    </cfRule>
  </conditionalFormatting>
  <conditionalFormatting sqref="B24">
    <cfRule type="cellIs" dxfId="703" priority="27" stopIfTrue="1" operator="notEqual">
      <formula>""</formula>
    </cfRule>
  </conditionalFormatting>
  <conditionalFormatting sqref="R46:R53 R8 R10 R29:R30 R33">
    <cfRule type="cellIs" dxfId="702" priority="28" stopIfTrue="1" operator="notEqual">
      <formula>""</formula>
    </cfRule>
  </conditionalFormatting>
  <conditionalFormatting sqref="S37:S39">
    <cfRule type="expression" dxfId="701" priority="29" stopIfTrue="1">
      <formula>S37=""</formula>
    </cfRule>
  </conditionalFormatting>
  <conditionalFormatting sqref="R18">
    <cfRule type="cellIs" dxfId="700" priority="30" stopIfTrue="1" operator="notEqual">
      <formula>""</formula>
    </cfRule>
  </conditionalFormatting>
  <conditionalFormatting sqref="J5">
    <cfRule type="expression" dxfId="699" priority="31" stopIfTrue="1">
      <formula>expired=TRUE</formula>
    </cfRule>
  </conditionalFormatting>
  <conditionalFormatting sqref="B1:H1">
    <cfRule type="expression" dxfId="698" priority="32" stopIfTrue="1">
      <formula>expired=TRUE</formula>
    </cfRule>
    <cfRule type="expression" dxfId="697" priority="33" stopIfTrue="1">
      <formula>old_ver=TRUE</formula>
    </cfRule>
  </conditionalFormatting>
  <conditionalFormatting sqref="I3">
    <cfRule type="expression" dxfId="696" priority="34" stopIfTrue="1">
      <formula>D3=""</formula>
    </cfRule>
  </conditionalFormatting>
  <conditionalFormatting sqref="J2">
    <cfRule type="expression" dxfId="695" priority="35" stopIfTrue="1">
      <formula>D3=""</formula>
    </cfRule>
  </conditionalFormatting>
  <conditionalFormatting sqref="L2">
    <cfRule type="expression" dxfId="694" priority="36" stopIfTrue="1">
      <formula>D3=""</formula>
    </cfRule>
  </conditionalFormatting>
  <conditionalFormatting sqref="L3">
    <cfRule type="expression" dxfId="693" priority="37" stopIfTrue="1">
      <formula>D3=""</formula>
    </cfRule>
  </conditionalFormatting>
  <conditionalFormatting sqref="J3:K3">
    <cfRule type="expression" dxfId="692" priority="38" stopIfTrue="1">
      <formula>D3=""</formula>
    </cfRule>
  </conditionalFormatting>
  <conditionalFormatting sqref="I2">
    <cfRule type="expression" dxfId="691" priority="39" stopIfTrue="1">
      <formula>AND(D3="",C2="")</formula>
    </cfRule>
  </conditionalFormatting>
  <conditionalFormatting sqref="V21">
    <cfRule type="expression" dxfId="690" priority="17" stopIfTrue="1">
      <formula>T21=""</formula>
    </cfRule>
  </conditionalFormatting>
  <conditionalFormatting sqref="E21:E22">
    <cfRule type="expression" dxfId="689" priority="40" stopIfTrue="1">
      <formula>OR(AC19="out",AF19="out")</formula>
    </cfRule>
  </conditionalFormatting>
  <conditionalFormatting sqref="M17">
    <cfRule type="expression" dxfId="688" priority="41" stopIfTrue="1">
      <formula>AE19="out"</formula>
    </cfRule>
  </conditionalFormatting>
  <conditionalFormatting sqref="K17">
    <cfRule type="expression" dxfId="687" priority="42" stopIfTrue="1">
      <formula>AE19&lt;&gt;"OK"</formula>
    </cfRule>
  </conditionalFormatting>
  <conditionalFormatting sqref="F21:F22">
    <cfRule type="expression" dxfId="686" priority="43" stopIfTrue="1">
      <formula>OR(AE19="out",AG19="out")</formula>
    </cfRule>
  </conditionalFormatting>
  <conditionalFormatting sqref="C21:C22">
    <cfRule type="expression" dxfId="685" priority="44" stopIfTrue="1">
      <formula>OR(AA19="out",AE19="out")</formula>
    </cfRule>
  </conditionalFormatting>
  <conditionalFormatting sqref="D21:D22">
    <cfRule type="expression" dxfId="684" priority="45" stopIfTrue="1">
      <formula>OR(AB19="out",#REF!="out")</formula>
    </cfRule>
  </conditionalFormatting>
  <conditionalFormatting sqref="K20">
    <cfRule type="expression" dxfId="683" priority="46" stopIfTrue="1">
      <formula>AE43&lt;&gt;"OK"</formula>
    </cfRule>
  </conditionalFormatting>
  <conditionalFormatting sqref="J16">
    <cfRule type="expression" dxfId="682" priority="47" stopIfTrue="1">
      <formula>R8&lt;&gt;"OK"</formula>
    </cfRule>
  </conditionalFormatting>
  <conditionalFormatting sqref="J19">
    <cfRule type="expression" dxfId="681" priority="48" stopIfTrue="1">
      <formula>R10&lt;&gt;"OK"</formula>
    </cfRule>
  </conditionalFormatting>
  <conditionalFormatting sqref="B21">
    <cfRule type="expression" dxfId="680" priority="49" stopIfTrue="1">
      <formula>R10&lt;&gt;"OK"</formula>
    </cfRule>
    <cfRule type="expression" dxfId="679" priority="50" stopIfTrue="1">
      <formula>R11&lt;&gt;"OK"</formula>
    </cfRule>
  </conditionalFormatting>
  <conditionalFormatting sqref="V27">
    <cfRule type="expression" dxfId="678" priority="15" stopIfTrue="1">
      <formula>T27=""</formula>
    </cfRule>
  </conditionalFormatting>
  <conditionalFormatting sqref="V26">
    <cfRule type="expression" dxfId="677" priority="16" stopIfTrue="1">
      <formula>S26=""</formula>
    </cfRule>
  </conditionalFormatting>
  <conditionalFormatting sqref="D15:E15">
    <cfRule type="expression" dxfId="676" priority="51" stopIfTrue="1">
      <formula>R18="err"</formula>
    </cfRule>
  </conditionalFormatting>
  <conditionalFormatting sqref="F23">
    <cfRule type="expression" dxfId="675" priority="52" stopIfTrue="1">
      <formula>#REF!&lt;&gt;"OK"</formula>
    </cfRule>
  </conditionalFormatting>
  <conditionalFormatting sqref="M16">
    <cfRule type="expression" dxfId="674" priority="53" stopIfTrue="1">
      <formula>J16&gt;U8</formula>
    </cfRule>
  </conditionalFormatting>
  <conditionalFormatting sqref="V18">
    <cfRule type="expression" dxfId="673" priority="54" stopIfTrue="1">
      <formula>S18=""</formula>
    </cfRule>
  </conditionalFormatting>
  <conditionalFormatting sqref="R31">
    <cfRule type="cellIs" dxfId="672" priority="14" stopIfTrue="1" operator="notEqual">
      <formula>""</formula>
    </cfRule>
  </conditionalFormatting>
  <conditionalFormatting sqref="R34">
    <cfRule type="cellIs" dxfId="671" priority="13" stopIfTrue="1" operator="notEqual">
      <formula>""</formula>
    </cfRule>
  </conditionalFormatting>
  <conditionalFormatting sqref="R32">
    <cfRule type="cellIs" dxfId="670" priority="12" stopIfTrue="1" operator="notEqual">
      <formula>""</formula>
    </cfRule>
  </conditionalFormatting>
  <conditionalFormatting sqref="B22">
    <cfRule type="expression" dxfId="669" priority="55" stopIfTrue="1">
      <formula>R11&lt;&gt;"OK"</formula>
    </cfRule>
    <cfRule type="expression" dxfId="668" priority="56" stopIfTrue="1">
      <formula>R29&lt;&gt;"OK"</formula>
    </cfRule>
  </conditionalFormatting>
  <conditionalFormatting sqref="C12">
    <cfRule type="expression" dxfId="667" priority="57" stopIfTrue="1">
      <formula>R30="ERR"</formula>
    </cfRule>
  </conditionalFormatting>
  <conditionalFormatting sqref="C11">
    <cfRule type="expression" dxfId="666" priority="58" stopIfTrue="1">
      <formula>R29="ERR"</formula>
    </cfRule>
  </conditionalFormatting>
  <conditionalFormatting sqref="C23:E23">
    <cfRule type="expression" dxfId="665" priority="59" stopIfTrue="1">
      <formula>R53&lt;&gt;"OK"</formula>
    </cfRule>
  </conditionalFormatting>
  <conditionalFormatting sqref="C7:D8">
    <cfRule type="expression" dxfId="664" priority="60" stopIfTrue="1">
      <formula>R46&lt;&gt;"OK"</formula>
    </cfRule>
  </conditionalFormatting>
  <conditionalFormatting sqref="D18:E18">
    <cfRule type="expression" dxfId="663" priority="61" stopIfTrue="1">
      <formula>R51&lt;&gt;"OK"</formula>
    </cfRule>
  </conditionalFormatting>
  <conditionalFormatting sqref="B18 B20">
    <cfRule type="expression" dxfId="662" priority="62" stopIfTrue="1">
      <formula>R51&lt;&gt;"OK"</formula>
    </cfRule>
  </conditionalFormatting>
  <conditionalFormatting sqref="D19">
    <cfRule type="expression" dxfId="661" priority="63" stopIfTrue="1">
      <formula>R53&lt;&gt;"ok"</formula>
    </cfRule>
  </conditionalFormatting>
  <conditionalFormatting sqref="D13:E13">
    <cfRule type="expression" dxfId="660" priority="64">
      <formula>AND(R34="ERR",D13&lt;&gt;0)</formula>
    </cfRule>
    <cfRule type="expression" dxfId="659" priority="65" stopIfTrue="1">
      <formula>R31="ERR"</formula>
    </cfRule>
  </conditionalFormatting>
  <conditionalFormatting sqref="C12:F12">
    <cfRule type="expression" dxfId="658" priority="66" stopIfTrue="1">
      <formula>AND(C12&lt;&gt;0,R33="ERR")</formula>
    </cfRule>
    <cfRule type="expression" dxfId="657" priority="67" stopIfTrue="1">
      <formula>AND(R34="ERR",C12&lt;&gt;0)</formula>
    </cfRule>
  </conditionalFormatting>
  <conditionalFormatting sqref="C11:F11">
    <cfRule type="expression" dxfId="656" priority="68" stopIfTrue="1">
      <formula>R33="ERR"</formula>
    </cfRule>
    <cfRule type="expression" dxfId="655" priority="69" stopIfTrue="1">
      <formula>R32="ERR"</formula>
    </cfRule>
  </conditionalFormatting>
  <conditionalFormatting sqref="S21">
    <cfRule type="expression" dxfId="654" priority="11" stopIfTrue="1">
      <formula>T21=""</formula>
    </cfRule>
  </conditionalFormatting>
  <conditionalFormatting sqref="S22:S23">
    <cfRule type="expression" dxfId="653" priority="10" stopIfTrue="1">
      <formula>S22=""</formula>
    </cfRule>
  </conditionalFormatting>
  <conditionalFormatting sqref="S20">
    <cfRule type="expression" dxfId="652" priority="8">
      <formula>AND(OR(T20="",LEFT(T20,1)="F"),T18&lt;&gt;T19)</formula>
    </cfRule>
    <cfRule type="expression" dxfId="651" priority="9">
      <formula>AND(LEFT(T20,1)&lt;&gt;"F",T18=T19)</formula>
    </cfRule>
  </conditionalFormatting>
  <conditionalFormatting sqref="R20">
    <cfRule type="cellIs" dxfId="650" priority="7" stopIfTrue="1" operator="notEqual">
      <formula>""</formula>
    </cfRule>
  </conditionalFormatting>
  <conditionalFormatting sqref="V20">
    <cfRule type="expression" dxfId="649" priority="6" stopIfTrue="1">
      <formula>T20=""</formula>
    </cfRule>
  </conditionalFormatting>
  <conditionalFormatting sqref="S12:S15">
    <cfRule type="expression" dxfId="648" priority="5" stopIfTrue="1">
      <formula>S12=""</formula>
    </cfRule>
  </conditionalFormatting>
  <conditionalFormatting sqref="R11">
    <cfRule type="cellIs" dxfId="647" priority="4" stopIfTrue="1" operator="notEqual">
      <formula>""</formula>
    </cfRule>
  </conditionalFormatting>
  <conditionalFormatting sqref="S19">
    <cfRule type="expression" dxfId="646" priority="3" stopIfTrue="1">
      <formula>#REF!=""</formula>
    </cfRule>
  </conditionalFormatting>
  <conditionalFormatting sqref="C24:F24">
    <cfRule type="cellIs" dxfId="645" priority="2" stopIfTrue="1" operator="notEqual">
      <formula>""</formula>
    </cfRule>
  </conditionalFormatting>
  <conditionalFormatting sqref="I4">
    <cfRule type="expression" dxfId="644" priority="1" stopIfTrue="1">
      <formula>K3&gt;K2</formula>
    </cfRule>
  </conditionalFormatting>
  <dataValidations count="3">
    <dataValidation type="list" showInputMessage="1" showErrorMessage="1" errorTitle="STANDARD FUELING LEVEL" error="STANDARD FUELING LEVEL MUST BE ENTERED:_x000a_TABS,_x000a_Measured,_x000a_FULL" sqref="T20" xr:uid="{0648ABB8-27D5-43C7-B1C0-54916192DBE3}">
      <formula1>"TABS,Measured,FULL"</formula1>
    </dataValidation>
    <dataValidation type="custom" allowBlank="1" showInputMessage="1" showErrorMessage="1" errorTitle="Input Error" error="Entry must be a NUMERIC VALUE!" sqref="D15:E17 C7:F12" xr:uid="{0CED693B-51B0-4CD6-AA7A-E5BF354CCF33}">
      <formula1>ISNUMBER(C7)</formula1>
    </dataValidation>
    <dataValidation type="date" allowBlank="1" showInputMessage="1" showErrorMessage="1" errorTitle="Input Error" error="A valid date must be entered into this cell.  Enter as  mm/dd/yy  _x000a__x000a_" sqref="C2:E2" xr:uid="{0AADCAED-0536-49FD-A247-024515DCC04D}">
      <formula1>36526</formula1>
      <formula2>44196</formula2>
    </dataValidation>
  </dataValidations>
  <printOptions horizontalCentered="1"/>
  <pageMargins left="0.75" right="0.5" top="0.5" bottom="0.5" header="0.5" footer="0.5"/>
  <pageSetup scale="96" orientation="portrait" r:id="rId1"/>
  <headerFooter alignWithMargins="0">
    <oddFooter>&amp;L&amp;F &amp;A&amp;RPrinted: &amp;D      Page &amp;P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0000FF"/>
    <pageSetUpPr fitToPage="1"/>
  </sheetPr>
  <dimension ref="B1:AJ56"/>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5" width="4.7109375" customWidth="1"/>
    <col min="16" max="16" width="11.7109375" style="41" hidden="1" customWidth="1"/>
    <col min="17" max="17" width="9.7109375" style="41" hidden="1" customWidth="1"/>
    <col min="18" max="18" width="8.42578125" style="41" hidden="1" customWidth="1"/>
    <col min="19" max="19" width="19" style="41" hidden="1" customWidth="1"/>
    <col min="20" max="22" width="7.7109375" style="41" hidden="1" customWidth="1"/>
    <col min="23" max="23" width="29.42578125" style="41" hidden="1" customWidth="1"/>
    <col min="24" max="24" width="4.7109375" style="41" hidden="1" customWidth="1"/>
    <col min="25" max="25" width="3.5703125" style="41" hidden="1" customWidth="1"/>
    <col min="26" max="33" width="9.140625" style="41" hidden="1" customWidth="1"/>
    <col min="34" max="34" width="9.5703125" style="41" hidden="1" customWidth="1"/>
    <col min="35" max="36" width="9" hidden="1" customWidth="1"/>
    <col min="37" max="37" width="8.140625" customWidth="1"/>
  </cols>
  <sheetData>
    <row r="1" spans="2:36" ht="22.5" customHeight="1" thickBot="1" x14ac:dyDescent="0.25">
      <c r="B1" s="807" t="str">
        <f ca="1">status_msg</f>
        <v/>
      </c>
      <c r="C1" s="807"/>
      <c r="D1" s="807"/>
      <c r="E1" s="807"/>
      <c r="F1" s="807"/>
      <c r="G1" s="807"/>
      <c r="H1" s="807"/>
      <c r="I1" s="514" t="str">
        <f>Q1</f>
        <v>CAP 1223</v>
      </c>
      <c r="J1" s="514" t="str">
        <f>R1</f>
        <v>N323KW</v>
      </c>
      <c r="K1" s="515"/>
      <c r="L1" s="516" t="str">
        <f>S1</f>
        <v>(230hp C182R)  Long Range Tanks</v>
      </c>
      <c r="M1" s="517"/>
      <c r="P1" s="354" t="s">
        <v>178</v>
      </c>
      <c r="Q1" s="355" t="s">
        <v>142</v>
      </c>
      <c r="R1" s="355" t="s">
        <v>135</v>
      </c>
      <c r="S1" s="356" t="s">
        <v>134</v>
      </c>
      <c r="T1" s="356"/>
      <c r="U1" s="357"/>
      <c r="V1" s="357"/>
      <c r="W1" s="357"/>
      <c r="X1" s="357"/>
      <c r="Y1" s="357"/>
      <c r="Z1" s="357"/>
      <c r="AA1" s="357"/>
      <c r="AB1" s="357"/>
      <c r="AC1" s="357"/>
      <c r="AD1" s="357"/>
      <c r="AE1" s="357"/>
      <c r="AF1" s="357"/>
      <c r="AG1" s="357"/>
      <c r="AH1" s="357"/>
      <c r="AI1" s="237"/>
      <c r="AJ1" s="237"/>
    </row>
    <row r="2" spans="2:36" ht="15" customHeight="1" thickTop="1" thickBot="1" x14ac:dyDescent="0.25">
      <c r="B2" s="137" t="s">
        <v>131</v>
      </c>
      <c r="C2" s="808"/>
      <c r="D2" s="808"/>
      <c r="E2" s="809"/>
      <c r="F2" s="142" t="str">
        <f>IF(D3="","mm/dd/yy","(if not today)")</f>
        <v>mm/dd/yy</v>
      </c>
      <c r="H2" s="326"/>
      <c r="I2" s="138" t="s">
        <v>131</v>
      </c>
      <c r="J2" s="810" t="str">
        <f>IF(C3="","","Mission Symbol")&amp;"   Mission No:"</f>
        <v xml:space="preserve">   Mission No:</v>
      </c>
      <c r="K2" s="810"/>
      <c r="L2" s="327" t="s">
        <v>130</v>
      </c>
      <c r="P2" s="358"/>
      <c r="Q2" s="359" t="s">
        <v>173</v>
      </c>
      <c r="R2" s="359" t="s">
        <v>145</v>
      </c>
      <c r="S2" s="360" t="s">
        <v>172</v>
      </c>
      <c r="T2" s="361"/>
      <c r="U2" s="357"/>
      <c r="V2" s="357"/>
      <c r="W2" s="357"/>
      <c r="X2" s="357"/>
      <c r="Y2" s="357"/>
      <c r="Z2" s="357"/>
      <c r="AA2" s="357"/>
      <c r="AB2" s="357"/>
      <c r="AC2" s="357"/>
      <c r="AD2" s="357"/>
      <c r="AE2" s="357"/>
      <c r="AF2" s="357"/>
      <c r="AG2" s="357"/>
      <c r="AH2" s="357"/>
      <c r="AI2" s="237"/>
      <c r="AJ2" s="237"/>
    </row>
    <row r="3" spans="2:36" ht="15" customHeight="1" thickTop="1" thickBot="1" x14ac:dyDescent="0.25">
      <c r="B3" s="140" t="s">
        <v>137</v>
      </c>
      <c r="C3" s="328"/>
      <c r="D3" s="811"/>
      <c r="E3" s="811"/>
      <c r="F3" s="812"/>
      <c r="I3" s="131" t="str">
        <f ca="1">IF(AND(D3="",C2=""),"",IF(C2="",TODAY(),C2))</f>
        <v/>
      </c>
      <c r="J3" s="813" t="str">
        <f>IF(C3="","",IF(D3="","",C3))&amp;"      "&amp;IF(D3="","",D3)</f>
        <v xml:space="preserve">      </v>
      </c>
      <c r="K3" s="814"/>
      <c r="L3" s="132" t="str">
        <f>IF(C4="","",C4)</f>
        <v/>
      </c>
      <c r="P3" s="362"/>
      <c r="Q3" s="363"/>
      <c r="R3" s="363"/>
      <c r="S3" s="357"/>
      <c r="T3" s="357"/>
      <c r="U3" s="357"/>
      <c r="V3" s="357"/>
      <c r="W3" s="357"/>
      <c r="X3" s="357"/>
      <c r="Y3" s="357"/>
      <c r="Z3" s="364"/>
      <c r="AA3" s="357"/>
      <c r="AB3" s="365"/>
      <c r="AC3" s="357"/>
      <c r="AD3" s="357"/>
      <c r="AE3" s="357"/>
      <c r="AF3" s="357"/>
      <c r="AG3" s="357"/>
      <c r="AH3" s="357"/>
      <c r="AI3" s="237"/>
      <c r="AJ3" s="237"/>
    </row>
    <row r="4" spans="2:36" ht="12" customHeight="1" thickTop="1" x14ac:dyDescent="0.2">
      <c r="B4" s="140" t="s">
        <v>130</v>
      </c>
      <c r="C4" s="822"/>
      <c r="D4" s="823"/>
      <c r="E4" s="140"/>
      <c r="J4" s="139"/>
      <c r="P4" s="553" t="s">
        <v>222</v>
      </c>
      <c r="Q4" s="366"/>
      <c r="R4" s="366"/>
      <c r="S4" s="357"/>
      <c r="T4" s="367" t="s">
        <v>98</v>
      </c>
      <c r="U4" s="368"/>
      <c r="V4" s="369" t="s">
        <v>99</v>
      </c>
      <c r="W4" s="357"/>
      <c r="X4" s="357"/>
      <c r="Y4" s="357"/>
      <c r="Z4" s="357"/>
      <c r="AA4" s="357"/>
      <c r="AB4" s="357"/>
      <c r="AC4" s="357"/>
      <c r="AD4" s="357"/>
      <c r="AE4" s="357"/>
      <c r="AF4" s="357"/>
      <c r="AG4" s="357"/>
      <c r="AH4" s="357"/>
      <c r="AI4" s="237"/>
      <c r="AJ4" s="237"/>
    </row>
    <row r="5" spans="2:36" ht="12" customHeight="1" x14ac:dyDescent="0.2">
      <c r="I5" s="35"/>
      <c r="J5" s="36"/>
      <c r="K5" s="36"/>
      <c r="L5" s="36"/>
      <c r="M5" s="134" t="str">
        <f>"Release ID:   "&amp;release_nbr&amp;"    "&amp;TEXT(release_date,"dd mmm yyyy  ")</f>
        <v xml:space="preserve">Release ID:   R1    21 Mar 2020  </v>
      </c>
      <c r="P5" s="362"/>
      <c r="Q5" s="357"/>
      <c r="R5" s="357"/>
      <c r="S5" s="357"/>
      <c r="T5" s="357"/>
      <c r="U5" s="357"/>
      <c r="V5" s="357"/>
      <c r="W5" s="357"/>
      <c r="X5" s="357"/>
      <c r="Y5" s="357"/>
      <c r="Z5" s="357"/>
      <c r="AA5" s="357"/>
      <c r="AB5" s="357"/>
      <c r="AC5" s="357"/>
      <c r="AD5" s="357"/>
      <c r="AE5" s="357"/>
      <c r="AF5" s="357"/>
      <c r="AG5" s="357"/>
      <c r="AH5" s="357"/>
      <c r="AI5" s="237"/>
      <c r="AJ5" s="237"/>
    </row>
    <row r="6" spans="2:36" ht="12.75" customHeight="1" thickBot="1" x14ac:dyDescent="0.35">
      <c r="B6" s="3" t="s">
        <v>31</v>
      </c>
      <c r="I6" s="37" t="s">
        <v>0</v>
      </c>
      <c r="J6" s="38" t="s">
        <v>1</v>
      </c>
      <c r="K6" s="38" t="s">
        <v>2</v>
      </c>
      <c r="L6" s="39" t="s">
        <v>97</v>
      </c>
      <c r="M6" s="133" t="s">
        <v>3</v>
      </c>
      <c r="P6" s="362"/>
      <c r="Q6" s="370" t="s">
        <v>120</v>
      </c>
      <c r="R6" s="371"/>
      <c r="S6" s="371"/>
      <c r="T6" s="371"/>
      <c r="U6" s="372" t="s">
        <v>1</v>
      </c>
      <c r="V6" s="372" t="s">
        <v>2</v>
      </c>
      <c r="W6" s="373" t="s">
        <v>179</v>
      </c>
      <c r="X6" s="357"/>
      <c r="Y6" s="357"/>
      <c r="Z6" s="357"/>
      <c r="AA6" s="357"/>
      <c r="AB6" s="374" t="s">
        <v>163</v>
      </c>
      <c r="AC6" s="371"/>
      <c r="AD6" s="371"/>
      <c r="AE6" s="371"/>
      <c r="AF6" s="371"/>
      <c r="AG6" s="371"/>
      <c r="AH6" s="357"/>
      <c r="AI6" s="237"/>
      <c r="AJ6" s="237"/>
    </row>
    <row r="7" spans="2:36" ht="15" customHeight="1" thickTop="1" thickBot="1" x14ac:dyDescent="0.25">
      <c r="B7" s="803" t="s">
        <v>32</v>
      </c>
      <c r="C7" s="802"/>
      <c r="D7" s="804"/>
      <c r="E7" s="802"/>
      <c r="F7" s="800"/>
      <c r="H7" s="1"/>
      <c r="I7" s="13" t="s">
        <v>4</v>
      </c>
      <c r="J7" s="544">
        <f>U7</f>
        <v>1864.9</v>
      </c>
      <c r="K7" s="67">
        <f>V7</f>
        <v>37.79</v>
      </c>
      <c r="L7" s="68">
        <f>ROUND(J7*K7/1000,5)</f>
        <v>70.47457</v>
      </c>
      <c r="M7" s="586" t="str">
        <f>IF(W7="","",W7)</f>
        <v>W/B: 29 JUN 14  Andrew Zeigh?</v>
      </c>
      <c r="P7" s="362"/>
      <c r="Q7" s="375" t="str">
        <f>"Ln"&amp;ROW()</f>
        <v>Ln7</v>
      </c>
      <c r="R7" s="376"/>
      <c r="S7" s="377" t="s">
        <v>4</v>
      </c>
      <c r="T7" s="378"/>
      <c r="U7" s="545">
        <v>1864.9</v>
      </c>
      <c r="V7" s="380">
        <v>37.79</v>
      </c>
      <c r="W7" s="381" t="s">
        <v>243</v>
      </c>
      <c r="X7" s="357"/>
      <c r="Y7" s="357"/>
      <c r="Z7" s="357"/>
      <c r="AA7" s="357"/>
      <c r="AB7" s="357"/>
      <c r="AC7" s="382"/>
      <c r="AD7" s="383" t="s">
        <v>162</v>
      </c>
      <c r="AE7" s="357"/>
      <c r="AF7" s="357"/>
      <c r="AG7" s="357"/>
      <c r="AH7" s="357"/>
      <c r="AI7" s="237"/>
      <c r="AJ7" s="237"/>
    </row>
    <row r="8" spans="2:36" ht="15" customHeight="1" thickTop="1" thickBot="1" x14ac:dyDescent="0.25">
      <c r="B8" s="803"/>
      <c r="C8" s="802"/>
      <c r="D8" s="804"/>
      <c r="E8" s="802"/>
      <c r="F8" s="800"/>
      <c r="H8" s="1"/>
      <c r="I8" s="125" t="s">
        <v>10</v>
      </c>
      <c r="J8" s="189">
        <f>D15*6</f>
        <v>0</v>
      </c>
      <c r="K8" s="69">
        <f>U18</f>
        <v>46.5</v>
      </c>
      <c r="L8" s="72">
        <f t="shared" ref="L8:L13" si="0">ROUND((J8*K8)/1000,5)</f>
        <v>0</v>
      </c>
      <c r="M8" s="11" t="str">
        <f>V18&amp;" lbs Max ("&amp;T18&amp;" gals)  "&amp;IF(OR(T18=T19,T19="",T19=0),"",V19&amp;" lbs Tabs ("&amp;T19&amp;" gals)")</f>
        <v>528 lbs Max (88 gals)  384 lbs Tabs (64 gals)</v>
      </c>
      <c r="P8" s="362"/>
      <c r="Q8" s="375" t="str">
        <f t="shared" ref="Q8:Q34" si="1">"Ln"&amp;ROW()</f>
        <v>Ln8</v>
      </c>
      <c r="R8" s="384" t="str">
        <f ca="1">IF(J16&gt;U8,"ERR","OK")</f>
        <v>OK</v>
      </c>
      <c r="S8" s="377" t="s">
        <v>168</v>
      </c>
      <c r="T8" s="378"/>
      <c r="U8" s="385">
        <v>3100</v>
      </c>
      <c r="V8" s="357"/>
      <c r="W8" s="357"/>
      <c r="X8" s="357"/>
      <c r="Y8" s="386"/>
      <c r="Z8" s="387"/>
      <c r="AA8" s="388">
        <v>3100</v>
      </c>
      <c r="AC8" s="624">
        <f>AA8</f>
        <v>3100</v>
      </c>
      <c r="AD8" s="357"/>
      <c r="AF8" s="389">
        <v>40.9</v>
      </c>
      <c r="AH8" s="390">
        <v>46</v>
      </c>
      <c r="AI8" s="237"/>
      <c r="AJ8" s="237"/>
    </row>
    <row r="9" spans="2:36" ht="15" customHeight="1" thickTop="1" thickBot="1" x14ac:dyDescent="0.25">
      <c r="B9" s="803" t="s">
        <v>33</v>
      </c>
      <c r="C9" s="802"/>
      <c r="D9" s="804"/>
      <c r="E9" s="802"/>
      <c r="F9" s="800"/>
      <c r="H9" s="1"/>
      <c r="I9" s="125" t="s">
        <v>11</v>
      </c>
      <c r="J9" s="189">
        <f>C7+E7</f>
        <v>0</v>
      </c>
      <c r="K9" s="69">
        <f>U26</f>
        <v>37</v>
      </c>
      <c r="L9" s="72">
        <f t="shared" si="0"/>
        <v>0</v>
      </c>
      <c r="M9" s="11" t="str">
        <f>IF(W26="","",W26)</f>
        <v/>
      </c>
      <c r="P9" s="362"/>
      <c r="Q9" s="375" t="str">
        <f t="shared" si="1"/>
        <v>Ln9</v>
      </c>
      <c r="R9" s="391"/>
      <c r="S9" s="377" t="s">
        <v>169</v>
      </c>
      <c r="T9" s="378"/>
      <c r="U9" s="385">
        <v>3117</v>
      </c>
      <c r="V9" s="392"/>
      <c r="W9" s="393" t="s">
        <v>176</v>
      </c>
      <c r="X9" s="357"/>
      <c r="Y9" s="394"/>
      <c r="Z9" s="395"/>
      <c r="AD9" s="357"/>
      <c r="AI9" s="237"/>
      <c r="AJ9" s="237"/>
    </row>
    <row r="10" spans="2:36" ht="15" customHeight="1" thickTop="1" thickBot="1" x14ac:dyDescent="0.3">
      <c r="B10" s="803"/>
      <c r="C10" s="802"/>
      <c r="D10" s="804"/>
      <c r="E10" s="802"/>
      <c r="F10" s="800"/>
      <c r="H10" s="1"/>
      <c r="I10" s="125" t="s">
        <v>12</v>
      </c>
      <c r="J10" s="189">
        <f>C9+E9</f>
        <v>0</v>
      </c>
      <c r="K10" s="69">
        <f>U27</f>
        <v>74</v>
      </c>
      <c r="L10" s="72">
        <f t="shared" si="0"/>
        <v>0</v>
      </c>
      <c r="M10" s="11" t="str">
        <f>IF(W27="","",W27)</f>
        <v/>
      </c>
      <c r="P10" s="362"/>
      <c r="Q10" s="375" t="str">
        <f t="shared" si="1"/>
        <v>Ln10</v>
      </c>
      <c r="R10" s="384" t="str">
        <f>IF(U8=U10,"OK",IF(J20&gt;U10,"WARN","OK"))</f>
        <v>OK</v>
      </c>
      <c r="S10" s="377" t="s">
        <v>170</v>
      </c>
      <c r="T10" s="378"/>
      <c r="U10" s="385">
        <v>2950</v>
      </c>
      <c r="V10" s="392"/>
      <c r="W10" s="393" t="s">
        <v>176</v>
      </c>
      <c r="X10" s="357"/>
      <c r="Y10" s="396" t="s">
        <v>155</v>
      </c>
      <c r="Z10" s="395"/>
      <c r="AD10" s="357"/>
      <c r="AI10" s="237"/>
      <c r="AJ10" s="237"/>
    </row>
    <row r="11" spans="2:36" ht="15" customHeight="1" thickTop="1" thickBot="1" x14ac:dyDescent="0.3">
      <c r="B11" s="6" t="s">
        <v>25</v>
      </c>
      <c r="C11" s="800"/>
      <c r="D11" s="801"/>
      <c r="E11" s="801"/>
      <c r="F11" s="802"/>
      <c r="H11" s="1"/>
      <c r="I11" s="19" t="s">
        <v>13</v>
      </c>
      <c r="J11" s="189">
        <f>C11</f>
        <v>0</v>
      </c>
      <c r="K11" s="69">
        <f>U29</f>
        <v>97</v>
      </c>
      <c r="L11" s="72">
        <f t="shared" si="0"/>
        <v>0</v>
      </c>
      <c r="M11" s="11" t="str">
        <f>V29&amp;" lbs max ("&amp;V32&amp;" max baggage 1+2+3)"</f>
        <v>120 lbs max (200 max baggage 1+2+3)</v>
      </c>
      <c r="P11" s="362"/>
      <c r="Q11" s="375" t="str">
        <f t="shared" si="1"/>
        <v>Ln11</v>
      </c>
      <c r="R11" s="384" t="str">
        <f ca="1">IF(U8=U10,"OK",IF(J19&gt;U11,"WARN","OK"))</f>
        <v>OK</v>
      </c>
      <c r="S11" s="397" t="s">
        <v>171</v>
      </c>
      <c r="T11" s="398"/>
      <c r="U11" s="399">
        <f>U10</f>
        <v>2950</v>
      </c>
      <c r="V11" s="357"/>
      <c r="W11" s="357"/>
      <c r="X11" s="357"/>
      <c r="Y11" s="396" t="s">
        <v>50</v>
      </c>
      <c r="Z11" s="395"/>
      <c r="AA11" s="766" t="s">
        <v>1</v>
      </c>
      <c r="AB11" s="766"/>
      <c r="AD11" s="357"/>
      <c r="AF11" s="766" t="s">
        <v>154</v>
      </c>
      <c r="AG11" s="766"/>
      <c r="AI11" s="237"/>
      <c r="AJ11" s="237"/>
    </row>
    <row r="12" spans="2:36" ht="15" customHeight="1" thickTop="1" thickBot="1" x14ac:dyDescent="0.3">
      <c r="B12" s="6" t="s">
        <v>26</v>
      </c>
      <c r="C12" s="800"/>
      <c r="D12" s="801"/>
      <c r="E12" s="801"/>
      <c r="F12" s="802"/>
      <c r="H12" s="1"/>
      <c r="I12" s="19" t="s">
        <v>14</v>
      </c>
      <c r="J12" s="189">
        <f>C12</f>
        <v>0</v>
      </c>
      <c r="K12" s="69">
        <f>U30</f>
        <v>116</v>
      </c>
      <c r="L12" s="72">
        <f t="shared" si="0"/>
        <v>0</v>
      </c>
      <c r="M12" s="11" t="str">
        <f>V30&amp;" lbs max  ("&amp;V34&amp;" max baggage 2+3)"</f>
        <v>80 lbs max  (80 max baggage 2+3)</v>
      </c>
      <c r="P12" s="362"/>
      <c r="Q12" s="375" t="str">
        <f t="shared" si="1"/>
        <v>Ln12</v>
      </c>
      <c r="R12" s="391"/>
      <c r="S12" s="400" t="s">
        <v>7</v>
      </c>
      <c r="T12" s="391"/>
      <c r="U12" s="391"/>
      <c r="V12" s="392"/>
      <c r="W12" s="393" t="s">
        <v>176</v>
      </c>
      <c r="X12" s="357"/>
      <c r="Y12" s="396" t="s">
        <v>56</v>
      </c>
      <c r="Z12" s="388">
        <v>2250</v>
      </c>
      <c r="AA12" s="766" t="s">
        <v>153</v>
      </c>
      <c r="AB12" s="766"/>
      <c r="AD12" s="357"/>
      <c r="AE12" s="623">
        <f>AE16</f>
        <v>33</v>
      </c>
      <c r="AF12" s="766" t="s">
        <v>153</v>
      </c>
      <c r="AG12" s="766"/>
      <c r="AI12" s="237"/>
      <c r="AJ12" s="237"/>
    </row>
    <row r="13" spans="2:36" ht="15" customHeight="1" thickTop="1" x14ac:dyDescent="0.25">
      <c r="B13" s="508" t="s">
        <v>70</v>
      </c>
      <c r="D13" s="821"/>
      <c r="E13" s="821"/>
      <c r="H13" s="1"/>
      <c r="I13" s="19" t="s">
        <v>17</v>
      </c>
      <c r="J13" s="189">
        <f>D13</f>
        <v>0</v>
      </c>
      <c r="K13" s="69">
        <f>U31</f>
        <v>129</v>
      </c>
      <c r="L13" s="72">
        <f t="shared" si="0"/>
        <v>0</v>
      </c>
      <c r="M13" s="513" t="str">
        <f>V31&amp;" Lbs Max (on shelf)"</f>
        <v>80 Lbs Max (on shelf)</v>
      </c>
      <c r="P13" s="362"/>
      <c r="Q13" s="375" t="str">
        <f t="shared" si="1"/>
        <v>Ln13</v>
      </c>
      <c r="R13" s="391"/>
      <c r="S13" s="400" t="s">
        <v>194</v>
      </c>
      <c r="T13" s="391"/>
      <c r="U13" s="391"/>
      <c r="V13" s="392"/>
      <c r="W13" s="393" t="s">
        <v>176</v>
      </c>
      <c r="X13" s="357"/>
      <c r="Y13" s="396" t="s">
        <v>57</v>
      </c>
      <c r="Z13" s="395"/>
      <c r="AC13" s="767" t="s">
        <v>157</v>
      </c>
      <c r="AD13" s="357"/>
      <c r="AH13" s="767" t="s">
        <v>167</v>
      </c>
      <c r="AI13" s="237"/>
      <c r="AJ13" s="237"/>
    </row>
    <row r="14" spans="2:36" ht="15" customHeight="1" thickBot="1" x14ac:dyDescent="0.35">
      <c r="B14" s="3"/>
      <c r="C14" s="235"/>
      <c r="D14" s="2"/>
      <c r="E14" s="2"/>
      <c r="F14" s="40" t="str">
        <f>IF(R20="err","","(Std Fueling "&amp;T19&amp;" gal ("&amp;T20&amp;"))")</f>
        <v>(Std Fueling 64 gal (TABS))</v>
      </c>
      <c r="H14" s="1"/>
      <c r="I14" s="15" t="s">
        <v>6</v>
      </c>
      <c r="J14" s="71">
        <f>SUM(J7:J13)</f>
        <v>1864.9</v>
      </c>
      <c r="K14" s="26"/>
      <c r="L14" s="70">
        <f>SUM(L7:L13)</f>
        <v>70.47457</v>
      </c>
      <c r="M14" s="11" t="str">
        <f>"Max Ramp Weight: "&amp;TEXT(U9,"#,###")&amp;IF(U8&lt;&gt;U10," - Landing "&amp;TEXT(U10,"#,###"),"")</f>
        <v>Max Ramp Weight: 3,117 - Landing 2,950</v>
      </c>
      <c r="P14" s="362"/>
      <c r="Q14" s="375" t="str">
        <f t="shared" si="1"/>
        <v>Ln14</v>
      </c>
      <c r="R14" s="391"/>
      <c r="S14" s="400" t="s">
        <v>24</v>
      </c>
      <c r="T14" s="391"/>
      <c r="U14" s="391"/>
      <c r="V14" s="392"/>
      <c r="W14" s="393" t="s">
        <v>177</v>
      </c>
      <c r="X14" s="357"/>
      <c r="Y14" s="396" t="s">
        <v>156</v>
      </c>
      <c r="Z14" s="395"/>
      <c r="AC14" s="767"/>
      <c r="AD14" s="357"/>
      <c r="AH14" s="767"/>
      <c r="AI14" s="237"/>
      <c r="AJ14" s="237"/>
    </row>
    <row r="15" spans="2:36" ht="15" customHeight="1" thickTop="1" thickBot="1" x14ac:dyDescent="0.3">
      <c r="B15" s="32" t="s">
        <v>88</v>
      </c>
      <c r="C15" s="4"/>
      <c r="D15" s="793"/>
      <c r="E15" s="793"/>
      <c r="F15" s="5" t="s">
        <v>36</v>
      </c>
      <c r="H15" s="1"/>
      <c r="I15" s="16" t="s">
        <v>15</v>
      </c>
      <c r="J15" s="585">
        <f>V21</f>
        <v>-10</v>
      </c>
      <c r="K15" s="69">
        <f>U18</f>
        <v>46.5</v>
      </c>
      <c r="L15" s="72">
        <f>ROUND((J15*K15)/1000,5)</f>
        <v>-0.46500000000000002</v>
      </c>
      <c r="M15" s="11" t="s">
        <v>16</v>
      </c>
      <c r="P15" s="362"/>
      <c r="Q15" s="375" t="str">
        <f t="shared" si="1"/>
        <v>Ln15</v>
      </c>
      <c r="R15" s="391"/>
      <c r="S15" s="400" t="s">
        <v>193</v>
      </c>
      <c r="T15" s="391"/>
      <c r="U15" s="391"/>
      <c r="V15" s="392"/>
      <c r="W15" s="393" t="s">
        <v>177</v>
      </c>
      <c r="X15" s="357"/>
      <c r="Y15" s="396" t="s">
        <v>47</v>
      </c>
      <c r="Z15" s="388">
        <v>1800</v>
      </c>
      <c r="AC15" s="792"/>
      <c r="AD15" s="357"/>
      <c r="AH15" s="792"/>
      <c r="AI15" s="237"/>
      <c r="AJ15" s="237"/>
    </row>
    <row r="16" spans="2:36" ht="15" customHeight="1" thickTop="1" thickBot="1" x14ac:dyDescent="0.25">
      <c r="B16" s="32" t="s">
        <v>35</v>
      </c>
      <c r="C16" s="2"/>
      <c r="D16" s="794"/>
      <c r="E16" s="795"/>
      <c r="F16" s="5" t="s">
        <v>108</v>
      </c>
      <c r="H16" s="1"/>
      <c r="I16" s="17" t="s">
        <v>7</v>
      </c>
      <c r="J16" s="126">
        <f ca="1">IF(expired=TRUE,9999,SUM(J14:J15))</f>
        <v>1854.9</v>
      </c>
      <c r="K16" s="73" t="s">
        <v>5</v>
      </c>
      <c r="L16" s="74">
        <f>SUM(L14:L15)</f>
        <v>70.009569999999997</v>
      </c>
      <c r="M16" s="110" t="str">
        <f>"Max Gross: "&amp;TEXT(U8,"#,##0")&amp;"   Useful Load: "&amp;TEXT(U37,"#,##0")</f>
        <v>Max Gross: 3,100   Useful Load: 1,235</v>
      </c>
      <c r="P16" s="362"/>
      <c r="Q16" s="401"/>
      <c r="R16" s="401"/>
      <c r="S16" s="401"/>
      <c r="T16" s="401"/>
      <c r="U16" s="401"/>
      <c r="V16" s="401"/>
      <c r="W16" s="401"/>
      <c r="X16" s="357"/>
      <c r="Y16" s="402"/>
      <c r="Z16" s="395"/>
      <c r="AC16" s="403">
        <f>AC8</f>
        <v>3100</v>
      </c>
      <c r="AD16" s="357"/>
      <c r="AE16" s="404">
        <v>33</v>
      </c>
      <c r="AF16" s="82"/>
      <c r="AG16" s="82"/>
      <c r="AH16" s="405">
        <f>AH8</f>
        <v>46</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37.74304275163081</v>
      </c>
      <c r="L17" s="75" t="s">
        <v>5</v>
      </c>
      <c r="M17" s="12" t="s">
        <v>9</v>
      </c>
      <c r="P17" s="362"/>
      <c r="Q17" s="370" t="s">
        <v>158</v>
      </c>
      <c r="R17" s="371"/>
      <c r="S17" s="371"/>
      <c r="T17" s="406" t="s">
        <v>174</v>
      </c>
      <c r="U17" s="372" t="s">
        <v>2</v>
      </c>
      <c r="V17" s="372" t="s">
        <v>118</v>
      </c>
      <c r="W17" s="373" t="s">
        <v>179</v>
      </c>
      <c r="X17" s="357"/>
      <c r="Y17" s="407"/>
      <c r="Z17" s="408"/>
      <c r="AD17" s="357"/>
      <c r="AE17" s="409"/>
      <c r="AF17" s="797" t="s">
        <v>161</v>
      </c>
      <c r="AG17" s="797"/>
      <c r="AH17" s="410"/>
      <c r="AI17" s="237"/>
      <c r="AJ17" s="237"/>
    </row>
    <row r="18" spans="2:36" ht="15" customHeight="1" thickTop="1" thickBot="1" x14ac:dyDescent="0.25">
      <c r="B18" s="32" t="s">
        <v>139</v>
      </c>
      <c r="D18" s="798">
        <f>D16*D17</f>
        <v>0</v>
      </c>
      <c r="E18" s="799"/>
      <c r="F18" s="5" t="s">
        <v>36</v>
      </c>
      <c r="H18" s="1"/>
      <c r="I18" s="23" t="s">
        <v>23</v>
      </c>
      <c r="J18" s="25">
        <f>D18*6*-1</f>
        <v>0</v>
      </c>
      <c r="K18" s="25">
        <f>K8</f>
        <v>46.5</v>
      </c>
      <c r="L18" s="92">
        <f>ROUND((J18*K18)/1000,5)</f>
        <v>0</v>
      </c>
      <c r="M18" s="29" t="s">
        <v>73</v>
      </c>
      <c r="P18" s="362"/>
      <c r="Q18" s="375" t="str">
        <f t="shared" si="1"/>
        <v>Ln18</v>
      </c>
      <c r="R18" s="384" t="str">
        <f>IF(D15&gt;T18,"ERR","OK")</f>
        <v>OK</v>
      </c>
      <c r="S18" s="548" t="s">
        <v>239</v>
      </c>
      <c r="T18" s="411">
        <v>88</v>
      </c>
      <c r="U18" s="380">
        <v>46.5</v>
      </c>
      <c r="V18" s="412">
        <f>T18*6</f>
        <v>528</v>
      </c>
      <c r="W18" s="393" t="s">
        <v>176</v>
      </c>
      <c r="X18" s="357"/>
      <c r="Y18" s="357"/>
      <c r="Z18" s="357"/>
      <c r="AA18" s="357"/>
      <c r="AB18" s="357"/>
      <c r="AC18" s="357"/>
      <c r="AD18" s="357"/>
      <c r="AE18" s="357"/>
      <c r="AF18" s="357"/>
      <c r="AG18" s="357"/>
      <c r="AH18" s="35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587">
        <f ca="1">SUM(J16:J18)</f>
        <v>1854.9</v>
      </c>
      <c r="K19" s="93"/>
      <c r="L19" s="24">
        <f>SUM(L16:L18)</f>
        <v>70.009569999999997</v>
      </c>
      <c r="M19" s="29" t="str">
        <f>IF(U8=U10,"Landing Weight Limit same as Takeoff Weight","Max Landing Weight  "&amp;TEXT(U10,"#,##0"))</f>
        <v>Max Landing Weight  2,950</v>
      </c>
      <c r="P19" s="362"/>
      <c r="Q19" s="375" t="str">
        <f t="shared" si="1"/>
        <v>Ln19</v>
      </c>
      <c r="R19" s="391"/>
      <c r="S19" s="549" t="s">
        <v>240</v>
      </c>
      <c r="T19" s="411">
        <v>64</v>
      </c>
      <c r="U19" s="413"/>
      <c r="V19" s="412">
        <f>T19*6</f>
        <v>384</v>
      </c>
      <c r="W19" s="357"/>
      <c r="X19" s="357"/>
      <c r="Y19" s="357"/>
      <c r="Z19" s="357"/>
      <c r="AA19" s="414" t="str">
        <f ca="1">IF(AA20&gt;U8,"OUT","OK")</f>
        <v>OK</v>
      </c>
      <c r="AB19" s="415" t="s">
        <v>164</v>
      </c>
      <c r="AC19" s="357"/>
      <c r="AD19" s="357"/>
      <c r="AE19" s="414" t="str">
        <f ca="1">IF(AA19="out","out",IF(AND(AE20&gt;=AG20,AE20&lt;=AH20),"OK","OUT"))</f>
        <v>OK</v>
      </c>
      <c r="AF19" s="357"/>
      <c r="AG19" s="357"/>
      <c r="AH19" s="357"/>
      <c r="AI19" s="237"/>
      <c r="AJ19" s="237"/>
    </row>
    <row r="20" spans="2:36" ht="15" customHeight="1" thickTop="1" thickBot="1" x14ac:dyDescent="0.25">
      <c r="B20" s="135" t="s">
        <v>132</v>
      </c>
      <c r="I20" s="28" t="s">
        <v>8</v>
      </c>
      <c r="J20" s="94"/>
      <c r="K20" s="589">
        <f ca="1">(L19*1000)/J19</f>
        <v>37.74304275163081</v>
      </c>
      <c r="L20" s="588"/>
      <c r="M20" s="30" t="s">
        <v>65</v>
      </c>
      <c r="P20" s="362"/>
      <c r="Q20" s="375" t="str">
        <f t="shared" si="1"/>
        <v>Ln20</v>
      </c>
      <c r="R20" s="83" t="str">
        <f>IF(AND(T18=T19,LEFT(T20,1)="F"),"OK",IF(AND(T18&lt;&gt;T19,LEFT(T20,1)&lt;&gt;"F"),"OK","ERR"))</f>
        <v>OK</v>
      </c>
      <c r="S20" s="547" t="s">
        <v>188</v>
      </c>
      <c r="T20" s="546" t="s">
        <v>187</v>
      </c>
      <c r="U20" s="397" t="s">
        <v>190</v>
      </c>
      <c r="V20" s="412"/>
      <c r="W20" s="392"/>
      <c r="X20" s="357"/>
      <c r="Y20" s="416" t="s">
        <v>47</v>
      </c>
      <c r="Z20" s="417" t="s">
        <v>1</v>
      </c>
      <c r="AA20" s="418">
        <f ca="1">J16</f>
        <v>1854.9</v>
      </c>
      <c r="AB20" s="419"/>
      <c r="AC20" s="420"/>
      <c r="AD20" s="421" t="s">
        <v>40</v>
      </c>
      <c r="AE20" s="422">
        <f ca="1">K17</f>
        <v>37.74304275163081</v>
      </c>
      <c r="AF20" s="423" t="s">
        <v>61</v>
      </c>
      <c r="AG20" s="424">
        <f ca="1">VLOOKUP(AA20,Z23:AH26,8,TRUE)</f>
        <v>33</v>
      </c>
      <c r="AH20" s="425">
        <f ca="1">VLOOKUP(AA20,Z23:AH26,9,TRUE)</f>
        <v>46</v>
      </c>
      <c r="AI20" s="237"/>
      <c r="AJ20" s="237"/>
    </row>
    <row r="21" spans="2:36" ht="13.5" thickTop="1" x14ac:dyDescent="0.2">
      <c r="B21" s="770" t="str">
        <f ca="1">IF(R10&lt;&gt;"OK","Caution - Landing Weight",IF(R11&lt;&gt;"OK","Watch Early Landing Weight",""))</f>
        <v/>
      </c>
      <c r="C21" s="772" t="str">
        <f ca="1">IF(OR(AA19="out",AE19="out"),"CAUTION:   Wt or CG Out of Limits","")</f>
        <v/>
      </c>
      <c r="D21" s="772"/>
      <c r="E21" s="772"/>
      <c r="F21" s="773"/>
      <c r="P21" s="362"/>
      <c r="Q21" s="375" t="str">
        <f t="shared" si="1"/>
        <v>Ln21</v>
      </c>
      <c r="R21" s="391"/>
      <c r="S21" s="548" t="s">
        <v>191</v>
      </c>
      <c r="T21" s="411">
        <v>1.7</v>
      </c>
      <c r="U21" s="413"/>
      <c r="V21" s="412">
        <f>ROUND(T21*6,0)*-1</f>
        <v>-10</v>
      </c>
      <c r="W21" s="357"/>
      <c r="X21" s="357"/>
      <c r="Y21" s="426" t="s">
        <v>48</v>
      </c>
      <c r="Z21" s="427"/>
      <c r="AA21" s="428" t="s">
        <v>67</v>
      </c>
      <c r="AB21" s="429"/>
      <c r="AC21" s="430"/>
      <c r="AD21" s="427"/>
      <c r="AE21" s="431" t="s">
        <v>66</v>
      </c>
      <c r="AF21" s="427"/>
      <c r="AG21" s="432" t="s">
        <v>46</v>
      </c>
      <c r="AH21" s="433" t="s">
        <v>46</v>
      </c>
      <c r="AI21" s="237"/>
      <c r="AJ21" s="237"/>
    </row>
    <row r="22" spans="2:36" ht="13.5" thickBot="1" x14ac:dyDescent="0.25">
      <c r="B22" s="771"/>
      <c r="C22" s="774"/>
      <c r="D22" s="774"/>
      <c r="E22" s="774"/>
      <c r="F22" s="775"/>
      <c r="P22" s="358"/>
      <c r="Q22" s="357"/>
      <c r="R22" s="391"/>
      <c r="S22" s="550" t="s">
        <v>15</v>
      </c>
      <c r="T22" s="391"/>
      <c r="U22" s="392"/>
      <c r="V22" s="391"/>
      <c r="W22" s="393" t="s">
        <v>177</v>
      </c>
      <c r="X22" s="357"/>
      <c r="Y22" s="426" t="s">
        <v>49</v>
      </c>
      <c r="Z22" s="434" t="s">
        <v>41</v>
      </c>
      <c r="AA22" s="434" t="s">
        <v>42</v>
      </c>
      <c r="AB22" s="435" t="s">
        <v>43</v>
      </c>
      <c r="AC22" s="436" t="s">
        <v>41</v>
      </c>
      <c r="AD22" s="437" t="s">
        <v>42</v>
      </c>
      <c r="AE22" s="438" t="s">
        <v>44</v>
      </c>
      <c r="AF22" s="439" t="s">
        <v>45</v>
      </c>
      <c r="AG22" s="440" t="s">
        <v>68</v>
      </c>
      <c r="AH22" s="441" t="s">
        <v>69</v>
      </c>
      <c r="AI22" s="237"/>
      <c r="AJ22" s="237"/>
    </row>
    <row r="23" spans="2:36" ht="13.5" thickTop="1" x14ac:dyDescent="0.2">
      <c r="B23" s="34" t="str">
        <f>IF(AND(R52&lt;&gt;"OK",R48&lt;&gt;"OK"),"Enter Fuel on Board","")</f>
        <v/>
      </c>
      <c r="C23" s="776" t="str">
        <f>IF(R53&lt;&gt;"OK","Fuel &lt;1-HR Reserve","")</f>
        <v/>
      </c>
      <c r="D23" s="776"/>
      <c r="E23" s="776"/>
      <c r="F23" s="777"/>
      <c r="I23" s="10" t="s">
        <v>64</v>
      </c>
      <c r="P23" s="358"/>
      <c r="Q23" s="401"/>
      <c r="R23" s="391"/>
      <c r="S23" s="550" t="s">
        <v>23</v>
      </c>
      <c r="T23" s="391"/>
      <c r="U23" s="392"/>
      <c r="V23" s="391"/>
      <c r="W23" s="393" t="s">
        <v>177</v>
      </c>
      <c r="X23" s="357"/>
      <c r="Y23" s="426" t="s">
        <v>50</v>
      </c>
      <c r="Z23" s="442">
        <f>Z15</f>
        <v>1800</v>
      </c>
      <c r="AA23" s="443">
        <f>Z12</f>
        <v>2250</v>
      </c>
      <c r="AB23" s="444">
        <f>+AA23-Z23</f>
        <v>450</v>
      </c>
      <c r="AC23" s="445">
        <f>AE16</f>
        <v>33</v>
      </c>
      <c r="AD23" s="446">
        <f>AE12</f>
        <v>33</v>
      </c>
      <c r="AE23" s="447">
        <f>AD23-AC23</f>
        <v>0</v>
      </c>
      <c r="AF23" s="448">
        <f>IF(OR(AB23=0,AE23=0),0,ROUND(AE23/AB23,5))</f>
        <v>0</v>
      </c>
      <c r="AG23" s="449">
        <f ca="1">IF(AND(AA20&gt;=Z23,AA20&lt;AA23),AC23+((AA20-Z23)*AF23),AC23)</f>
        <v>33</v>
      </c>
      <c r="AH23" s="450">
        <f>AD26</f>
        <v>46</v>
      </c>
      <c r="AI23" s="237"/>
      <c r="AJ23" s="237"/>
    </row>
    <row r="24" spans="2:36" ht="12.75" customHeight="1" x14ac:dyDescent="0.2">
      <c r="B24" s="77" t="str">
        <f>IF(AND(R52&lt;&gt;"OK",R49&lt;&gt;"OK"),"Enter GPH Usage","")</f>
        <v/>
      </c>
      <c r="C24" s="778" t="str">
        <f>IF(OR(R18&lt;&gt;"OK",R51&lt;&gt;"OK"),"Fueling Error","")</f>
        <v/>
      </c>
      <c r="D24" s="778"/>
      <c r="E24" s="778"/>
      <c r="F24" s="779"/>
      <c r="I24" s="9" t="s">
        <v>62</v>
      </c>
      <c r="P24" s="358"/>
      <c r="Q24" s="401"/>
      <c r="R24" s="401"/>
      <c r="S24" s="401"/>
      <c r="T24" s="401"/>
      <c r="U24" s="401"/>
      <c r="V24" s="401"/>
      <c r="W24" s="401"/>
      <c r="X24" s="357"/>
      <c r="Y24" s="426" t="s">
        <v>51</v>
      </c>
      <c r="Z24" s="451">
        <f>AA23</f>
        <v>2250</v>
      </c>
      <c r="AA24" s="452">
        <f>AA8</f>
        <v>3100</v>
      </c>
      <c r="AB24" s="453">
        <f>+AA24-Z24</f>
        <v>850</v>
      </c>
      <c r="AC24" s="454">
        <f>IF(AD24=AD23,AC23,AD23)</f>
        <v>33</v>
      </c>
      <c r="AD24" s="455">
        <f>AF8</f>
        <v>40.9</v>
      </c>
      <c r="AE24" s="447">
        <f>AD24-AC24</f>
        <v>7.8999999999999986</v>
      </c>
      <c r="AF24" s="448">
        <f>IF(OR(AB24=0,AE24=0),0,ROUND(AE24/AB24,5))</f>
        <v>9.2899999999999996E-3</v>
      </c>
      <c r="AG24" s="449">
        <f ca="1">IF(AND(AA20&gt;=Z24,AA20&lt;AA24),AC24+((AA20-Z24)*AF24),AC24)</f>
        <v>33</v>
      </c>
      <c r="AH24" s="213">
        <f>AH23</f>
        <v>46</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358"/>
      <c r="Q25" s="370" t="s">
        <v>159</v>
      </c>
      <c r="R25" s="371"/>
      <c r="S25" s="371"/>
      <c r="T25" s="371"/>
      <c r="U25" s="372" t="s">
        <v>2</v>
      </c>
      <c r="V25" s="372" t="s">
        <v>1</v>
      </c>
      <c r="W25" s="373" t="s">
        <v>179</v>
      </c>
      <c r="X25" s="357"/>
      <c r="Y25" s="426" t="s">
        <v>52</v>
      </c>
      <c r="Z25" s="451">
        <f>AA24</f>
        <v>3100</v>
      </c>
      <c r="AA25" s="452">
        <f>AC8</f>
        <v>3100</v>
      </c>
      <c r="AB25" s="453">
        <f>+AA25-Z25</f>
        <v>0</v>
      </c>
      <c r="AC25" s="454">
        <f>IF(AD25=AD24,AC24,AD24)</f>
        <v>40.9</v>
      </c>
      <c r="AD25" s="455">
        <f>AH8</f>
        <v>46</v>
      </c>
      <c r="AE25" s="447">
        <f>AD25-AC25</f>
        <v>5.1000000000000014</v>
      </c>
      <c r="AF25" s="448">
        <f>IF(OR(AB25=0,AE25=0),0,ROUND(AE25/AB25,5))</f>
        <v>0</v>
      </c>
      <c r="AG25" s="449">
        <f ca="1">IF(AND(AA20&gt;=Z25,AA20&lt;AA25),AC25+((AA20-Z25)*AF25),AC25)</f>
        <v>40.9</v>
      </c>
      <c r="AH25" s="213">
        <f>AH24</f>
        <v>46</v>
      </c>
      <c r="AI25" s="237"/>
      <c r="AJ25" s="237"/>
    </row>
    <row r="26" spans="2:36" ht="13.5" thickTop="1" x14ac:dyDescent="0.2">
      <c r="I26" s="8" t="str">
        <f>"R Front:  "&amp;IF(E7=0,"---",E7&amp;"#")</f>
        <v>R Front:  ---</v>
      </c>
      <c r="P26" s="358"/>
      <c r="Q26" s="375" t="str">
        <f t="shared" si="1"/>
        <v>Ln26</v>
      </c>
      <c r="R26" s="391"/>
      <c r="S26" s="456" t="s">
        <v>11</v>
      </c>
      <c r="T26" s="378"/>
      <c r="U26" s="380">
        <v>37</v>
      </c>
      <c r="V26" s="412">
        <f>C7+E7</f>
        <v>0</v>
      </c>
      <c r="W26" s="457"/>
      <c r="X26" s="357"/>
      <c r="Y26" s="458" t="s">
        <v>52</v>
      </c>
      <c r="Z26" s="459">
        <f>AA25</f>
        <v>3100</v>
      </c>
      <c r="AA26" s="460">
        <f>AC16</f>
        <v>3100</v>
      </c>
      <c r="AB26" s="461">
        <f>+AA26-Z26</f>
        <v>0</v>
      </c>
      <c r="AC26" s="462">
        <f>IF(AD26=AD25,AC25,AD25)</f>
        <v>40.9</v>
      </c>
      <c r="AD26" s="463">
        <f>AH16</f>
        <v>46</v>
      </c>
      <c r="AE26" s="464">
        <f>AD26-AC26</f>
        <v>5.1000000000000014</v>
      </c>
      <c r="AF26" s="465">
        <f>IF(OR(AB26=0,AE26=0),0,ROUND(AE26/AB26,5))</f>
        <v>0</v>
      </c>
      <c r="AG26" s="466">
        <f ca="1">IF(AND(AA20&gt;=Z26,AA20&lt;AA26),AC26+((AA20-Z26)*AF26),AC26)</f>
        <v>40.9</v>
      </c>
      <c r="AH26" s="217">
        <f>AH25</f>
        <v>46</v>
      </c>
      <c r="AI26" s="237"/>
      <c r="AJ26" s="237"/>
    </row>
    <row r="27" spans="2:36" ht="12.75" customHeight="1" x14ac:dyDescent="0.2">
      <c r="B27" s="60" t="s">
        <v>79</v>
      </c>
      <c r="H27" s="1"/>
      <c r="I27" s="8" t="str">
        <f>"L  Rear:  "&amp;IF(C9=0,"---",C9&amp;"#")</f>
        <v>L  Rear:  ---</v>
      </c>
      <c r="P27" s="358"/>
      <c r="Q27" s="375" t="str">
        <f t="shared" si="1"/>
        <v>Ln27</v>
      </c>
      <c r="R27" s="391"/>
      <c r="S27" s="456" t="s">
        <v>12</v>
      </c>
      <c r="T27" s="378"/>
      <c r="U27" s="380">
        <v>74</v>
      </c>
      <c r="V27" s="412">
        <f>C9+E9</f>
        <v>0</v>
      </c>
      <c r="W27" s="457"/>
      <c r="X27" s="357"/>
      <c r="Y27" s="357"/>
      <c r="Z27" s="357"/>
      <c r="AA27" s="357"/>
      <c r="AB27" s="357"/>
      <c r="AC27" s="357"/>
      <c r="AD27" s="357"/>
      <c r="AE27" s="357"/>
      <c r="AF27" s="357"/>
      <c r="AG27" s="357"/>
      <c r="AH27" s="357"/>
      <c r="AI27" s="237"/>
      <c r="AJ27" s="237"/>
    </row>
    <row r="28" spans="2:36" ht="13.5" thickBot="1" x14ac:dyDescent="0.25">
      <c r="B28" s="22" t="s">
        <v>127</v>
      </c>
      <c r="D28" s="782">
        <f>U37+(J15*-1)</f>
        <v>1245</v>
      </c>
      <c r="E28" s="783"/>
      <c r="F28" s="784" t="str">
        <f>"( "&amp;TEXT(U37,"#,##0")&amp;"+"&amp;J15*-1&amp;" )"</f>
        <v>( 1,235+10 )</v>
      </c>
      <c r="G28" s="785"/>
      <c r="H28" s="785"/>
      <c r="I28" s="8" t="str">
        <f>"R  Rear:  "&amp;IF(E9=0,"---",E9&amp;"#")</f>
        <v>R  Rear:  ---</v>
      </c>
      <c r="P28" s="358"/>
      <c r="Q28" s="357"/>
      <c r="R28" s="357"/>
      <c r="S28" s="357"/>
      <c r="T28" s="357"/>
      <c r="U28" s="413"/>
      <c r="V28" s="413"/>
      <c r="W28" s="357"/>
      <c r="X28" s="357"/>
      <c r="Y28" s="357"/>
      <c r="Z28" s="357"/>
      <c r="AA28" s="357"/>
      <c r="AB28" s="357"/>
      <c r="AC28" s="357"/>
      <c r="AD28" s="357"/>
      <c r="AE28" s="357"/>
      <c r="AF28" s="357"/>
      <c r="AG28" s="357"/>
      <c r="AH28" s="357"/>
      <c r="AI28" s="237"/>
      <c r="AJ28" s="237"/>
    </row>
    <row r="29" spans="2:36" ht="13.5" thickBot="1" x14ac:dyDescent="0.25">
      <c r="B29" s="22" t="s">
        <v>126</v>
      </c>
      <c r="D29" s="786">
        <f>SUM(J8:J13)</f>
        <v>0</v>
      </c>
      <c r="E29" s="787"/>
      <c r="I29" s="8" t="str">
        <f>"Bag 1:  "&amp;IF(C11=0,"---",C11&amp;"#")</f>
        <v>Bag 1:  ---</v>
      </c>
      <c r="P29" s="358"/>
      <c r="Q29" s="375" t="str">
        <f t="shared" si="1"/>
        <v>Ln29</v>
      </c>
      <c r="R29" s="467" t="str">
        <f>IF(C11&gt;V29,"ERR","OK")</f>
        <v>OK</v>
      </c>
      <c r="S29" s="456" t="s">
        <v>25</v>
      </c>
      <c r="T29" s="512">
        <f>C11</f>
        <v>0</v>
      </c>
      <c r="U29" s="380">
        <v>97</v>
      </c>
      <c r="V29" s="468">
        <v>120</v>
      </c>
      <c r="W29" s="393" t="s">
        <v>176</v>
      </c>
      <c r="X29" s="357"/>
      <c r="Y29" s="357"/>
      <c r="Z29" s="357"/>
      <c r="AA29" s="357"/>
      <c r="AB29" s="357"/>
      <c r="AC29" s="357"/>
      <c r="AD29" s="357"/>
      <c r="AE29" s="357"/>
      <c r="AF29" s="357"/>
      <c r="AG29" s="357"/>
      <c r="AH29" s="357"/>
      <c r="AI29" s="237"/>
      <c r="AJ29" s="237"/>
    </row>
    <row r="30" spans="2:36" ht="15.75" x14ac:dyDescent="0.3">
      <c r="B30" s="22" t="str">
        <f>IF(D29&lt;=D28,"Lbs before overweight","OVERWEIGHT")</f>
        <v>Lbs before overweight</v>
      </c>
      <c r="D30" s="788">
        <f>ABS(D28-D29)</f>
        <v>1245</v>
      </c>
      <c r="E30" s="789"/>
      <c r="F30" s="790" t="str">
        <f>IF(D29&gt;D28,"# Over","")</f>
        <v/>
      </c>
      <c r="G30" s="791"/>
      <c r="H30" s="791"/>
      <c r="I30" s="8" t="str">
        <f>"Bag 2:  "&amp;IF(C12=0,"---",C12&amp;"#")</f>
        <v>Bag 2:  ---</v>
      </c>
      <c r="P30" s="358"/>
      <c r="Q30" s="375" t="str">
        <f t="shared" si="1"/>
        <v>Ln30</v>
      </c>
      <c r="R30" s="467" t="str">
        <f>IF(C12&gt;V30,"ERR","OK")</f>
        <v>OK</v>
      </c>
      <c r="S30" s="456" t="s">
        <v>26</v>
      </c>
      <c r="T30" s="512">
        <f>C12</f>
        <v>0</v>
      </c>
      <c r="U30" s="380">
        <v>116</v>
      </c>
      <c r="V30" s="468">
        <v>80</v>
      </c>
      <c r="W30" s="393" t="s">
        <v>176</v>
      </c>
      <c r="X30" s="357"/>
      <c r="Y30" s="357"/>
      <c r="Z30" s="472"/>
      <c r="AA30" s="473"/>
      <c r="AB30" s="474" t="s">
        <v>165</v>
      </c>
      <c r="AC30" s="371"/>
      <c r="AD30" s="371"/>
      <c r="AE30" s="371"/>
      <c r="AF30" s="371"/>
      <c r="AG30" s="371"/>
      <c r="AH30" s="357"/>
      <c r="AI30" s="237"/>
      <c r="AJ30" s="237"/>
    </row>
    <row r="31" spans="2:36" ht="15.75" thickBot="1" x14ac:dyDescent="0.3">
      <c r="P31" s="358"/>
      <c r="Q31" s="375" t="str">
        <f t="shared" si="1"/>
        <v>Ln31</v>
      </c>
      <c r="R31" s="511" t="str">
        <f>IF(D13&gt;V31,"ERR","OK")</f>
        <v>OK</v>
      </c>
      <c r="S31" s="509" t="s">
        <v>28</v>
      </c>
      <c r="T31" s="512">
        <f>D13</f>
        <v>0</v>
      </c>
      <c r="U31" s="380">
        <v>129</v>
      </c>
      <c r="V31" s="468">
        <v>80</v>
      </c>
      <c r="W31" s="393" t="s">
        <v>176</v>
      </c>
      <c r="X31" s="357"/>
      <c r="Y31" s="357"/>
      <c r="Z31" s="357"/>
      <c r="AA31" s="357"/>
      <c r="AB31" s="357"/>
      <c r="AC31" s="382" t="s">
        <v>162</v>
      </c>
      <c r="AD31" s="357"/>
      <c r="AE31" s="357"/>
      <c r="AF31" s="357"/>
      <c r="AG31" s="473"/>
      <c r="AH31" s="357"/>
      <c r="AI31" s="237"/>
      <c r="AJ31" s="237"/>
    </row>
    <row r="32" spans="2:36" ht="13.5" thickTop="1" x14ac:dyDescent="0.2">
      <c r="I32" s="8"/>
      <c r="P32" s="358"/>
      <c r="Q32" s="375" t="str">
        <f t="shared" si="1"/>
        <v>Ln32</v>
      </c>
      <c r="R32" s="511" t="str">
        <f>IF(C11+C12+D13&gt;V32,"ERR","OK")</f>
        <v>OK</v>
      </c>
      <c r="S32" s="510" t="s">
        <v>29</v>
      </c>
      <c r="T32" s="512">
        <f>SUM(C11,C12,D13)</f>
        <v>0</v>
      </c>
      <c r="U32" s="471"/>
      <c r="V32" s="468">
        <v>200</v>
      </c>
      <c r="W32" s="357"/>
      <c r="X32" s="357"/>
      <c r="Y32" s="476"/>
      <c r="Z32" s="477"/>
      <c r="AA32" s="478">
        <v>2950</v>
      </c>
      <c r="AC32" s="403">
        <f>AA32</f>
        <v>2950</v>
      </c>
      <c r="AD32" s="357"/>
      <c r="AF32" s="479">
        <v>39.5</v>
      </c>
      <c r="AH32" s="390">
        <v>46</v>
      </c>
      <c r="AI32" s="237"/>
      <c r="AJ32" s="237"/>
    </row>
    <row r="33" spans="8:36" x14ac:dyDescent="0.2">
      <c r="I33" s="9" t="s">
        <v>63</v>
      </c>
      <c r="P33" s="358"/>
      <c r="Q33" s="375" t="str">
        <f t="shared" si="1"/>
        <v>Ln33</v>
      </c>
      <c r="R33" s="511" t="str">
        <f>IF(C11+C12&gt;V33,"ERR","OK")</f>
        <v>OK</v>
      </c>
      <c r="S33" s="470" t="s">
        <v>30</v>
      </c>
      <c r="T33" s="512"/>
      <c r="U33" s="471"/>
      <c r="V33" s="468">
        <v>200</v>
      </c>
      <c r="W33" s="357"/>
      <c r="X33" s="357"/>
      <c r="Y33" s="480"/>
      <c r="Z33" s="82"/>
      <c r="AD33" s="357"/>
      <c r="AI33" s="237"/>
      <c r="AJ33" s="237"/>
    </row>
    <row r="34" spans="8:36" ht="13.5" x14ac:dyDescent="0.25">
      <c r="I34" s="10" t="str">
        <f>"Start:  "&amp;TEXT(D15,("###.0"))&amp;" USG"</f>
        <v>Start:  .0 USG</v>
      </c>
      <c r="P34" s="358"/>
      <c r="Q34" s="375" t="str">
        <f t="shared" si="1"/>
        <v>Ln34</v>
      </c>
      <c r="R34" s="511" t="str">
        <f>IF(C12+D13&gt;V34,"ERR","OK")</f>
        <v>OK</v>
      </c>
      <c r="S34" s="510" t="s">
        <v>71</v>
      </c>
      <c r="T34" s="512"/>
      <c r="U34" s="471"/>
      <c r="V34" s="468">
        <v>80</v>
      </c>
      <c r="W34" s="357"/>
      <c r="X34" s="357"/>
      <c r="Y34" s="481" t="s">
        <v>155</v>
      </c>
      <c r="Z34" s="82"/>
      <c r="AD34" s="357"/>
      <c r="AI34" s="237"/>
      <c r="AJ34" s="237"/>
    </row>
    <row r="35" spans="8:36" ht="13.5" x14ac:dyDescent="0.25">
      <c r="I35" s="10" t="str">
        <f>"Used:    "&amp;TEXT(D18,("###.0"))&amp;" USG"</f>
        <v>Used:    .0 USG</v>
      </c>
      <c r="P35" s="358"/>
      <c r="Q35" s="357"/>
      <c r="R35" s="357"/>
      <c r="S35" s="357"/>
      <c r="T35" s="357"/>
      <c r="U35" s="357"/>
      <c r="V35" s="357"/>
      <c r="W35" s="357"/>
      <c r="X35" s="357"/>
      <c r="Y35" s="481" t="s">
        <v>50</v>
      </c>
      <c r="Z35" s="82"/>
      <c r="AA35" s="766" t="s">
        <v>1</v>
      </c>
      <c r="AB35" s="766"/>
      <c r="AD35" s="357"/>
      <c r="AF35" s="766" t="s">
        <v>154</v>
      </c>
      <c r="AG35" s="766"/>
      <c r="AI35" s="237"/>
      <c r="AJ35" s="237"/>
    </row>
    <row r="36" spans="8:36" ht="13.5" x14ac:dyDescent="0.25">
      <c r="I36" s="10" t="str">
        <f>"Reserve:  "&amp;TEXT(D15-D18,"###.0")&amp;" USG"</f>
        <v>Reserve:  .0 USG</v>
      </c>
      <c r="P36" s="358"/>
      <c r="Q36" s="370" t="s">
        <v>160</v>
      </c>
      <c r="R36" s="371"/>
      <c r="S36" s="371"/>
      <c r="T36" s="371"/>
      <c r="U36" s="482" t="s">
        <v>1</v>
      </c>
      <c r="V36" s="357"/>
      <c r="W36" s="357"/>
      <c r="X36" s="357"/>
      <c r="Y36" s="481" t="s">
        <v>56</v>
      </c>
      <c r="Z36" s="478">
        <v>2250</v>
      </c>
      <c r="AA36" s="766" t="s">
        <v>153</v>
      </c>
      <c r="AB36" s="766"/>
      <c r="AD36" s="357"/>
      <c r="AE36" s="628">
        <f>AE40</f>
        <v>33</v>
      </c>
      <c r="AF36" s="766" t="s">
        <v>153</v>
      </c>
      <c r="AG36" s="766"/>
      <c r="AI36" s="237"/>
      <c r="AJ36" s="237"/>
    </row>
    <row r="37" spans="8:36" ht="13.5" x14ac:dyDescent="0.25">
      <c r="P37" s="358"/>
      <c r="Q37" s="375" t="str">
        <f t="shared" ref="Q37:Q39" si="2">"Ln"&amp;ROW()</f>
        <v>Ln37</v>
      </c>
      <c r="R37" s="484"/>
      <c r="S37" s="400" t="s">
        <v>77</v>
      </c>
      <c r="T37" s="485"/>
      <c r="U37" s="486">
        <f>ROUND(U8-U7,0)</f>
        <v>1235</v>
      </c>
      <c r="V37" s="357"/>
      <c r="W37" s="357"/>
      <c r="X37" s="357"/>
      <c r="Y37" s="481" t="s">
        <v>57</v>
      </c>
      <c r="Z37" s="82"/>
      <c r="AC37" s="767" t="s">
        <v>157</v>
      </c>
      <c r="AD37" s="357"/>
      <c r="AH37" s="767" t="s">
        <v>157</v>
      </c>
      <c r="AI37" s="237"/>
      <c r="AJ37" s="237"/>
    </row>
    <row r="38" spans="8:36" ht="13.5" x14ac:dyDescent="0.25">
      <c r="I38" s="9" t="s">
        <v>72</v>
      </c>
      <c r="P38" s="358"/>
      <c r="Q38" s="375" t="str">
        <f t="shared" si="2"/>
        <v>Ln38</v>
      </c>
      <c r="R38" s="484"/>
      <c r="S38" s="400" t="s">
        <v>76</v>
      </c>
      <c r="T38" s="485"/>
      <c r="U38" s="486">
        <f>IF(T19=0,"",U37-V19)</f>
        <v>851</v>
      </c>
      <c r="V38" s="357"/>
      <c r="W38" s="357"/>
      <c r="X38" s="357"/>
      <c r="Y38" s="481" t="s">
        <v>156</v>
      </c>
      <c r="Z38" s="82"/>
      <c r="AC38" s="767"/>
      <c r="AD38" s="357"/>
      <c r="AH38" s="767"/>
      <c r="AI38" s="237"/>
      <c r="AJ38" s="237"/>
    </row>
    <row r="39" spans="8:36" ht="13.5" x14ac:dyDescent="0.25">
      <c r="H39" s="7"/>
      <c r="I39" s="63" t="str">
        <f>IF(T42="","","Max Flight (NO Res)")</f>
        <v/>
      </c>
      <c r="P39" s="358"/>
      <c r="Q39" s="375" t="str">
        <f t="shared" si="2"/>
        <v>Ln39</v>
      </c>
      <c r="R39" s="484"/>
      <c r="S39" s="400" t="s">
        <v>78</v>
      </c>
      <c r="T39" s="487"/>
      <c r="U39" s="486">
        <f>U37-V18</f>
        <v>707</v>
      </c>
      <c r="V39" s="357"/>
      <c r="W39" s="357"/>
      <c r="X39" s="357"/>
      <c r="Y39" s="481" t="s">
        <v>47</v>
      </c>
      <c r="Z39" s="82"/>
      <c r="AC39" s="768"/>
      <c r="AD39" s="357"/>
      <c r="AH39" s="768"/>
      <c r="AI39" s="237"/>
      <c r="AJ39" s="237"/>
    </row>
    <row r="40" spans="8:36" x14ac:dyDescent="0.2">
      <c r="H40" s="7"/>
      <c r="I40" s="21" t="str">
        <f>IF(T42="","","~"&amp;TEXT(T42,("##.0"))&amp;" hrs")</f>
        <v/>
      </c>
      <c r="P40" s="358"/>
      <c r="Q40" s="357"/>
      <c r="R40" s="357"/>
      <c r="S40" s="357"/>
      <c r="T40" s="413"/>
      <c r="U40" s="413"/>
      <c r="V40" s="357"/>
      <c r="W40" s="357"/>
      <c r="X40" s="357"/>
      <c r="Y40" s="480"/>
      <c r="Z40" s="478">
        <v>1800</v>
      </c>
      <c r="AC40" s="403">
        <f>AC32</f>
        <v>2950</v>
      </c>
      <c r="AD40" s="357"/>
      <c r="AE40" s="489">
        <v>33</v>
      </c>
      <c r="AF40" s="82"/>
      <c r="AG40" s="82"/>
      <c r="AH40" s="490">
        <f>AH32</f>
        <v>46</v>
      </c>
      <c r="AI40" s="242"/>
      <c r="AJ40" s="242"/>
    </row>
    <row r="41" spans="8:36" ht="14.25" thickBot="1" x14ac:dyDescent="0.3">
      <c r="I41" s="61" t="str">
        <f>IF(T42="","","@ "&amp;TEXT(D16,"##.0")&amp;" GPH")</f>
        <v/>
      </c>
      <c r="P41" s="358"/>
      <c r="Q41" s="370" t="s">
        <v>119</v>
      </c>
      <c r="R41" s="371"/>
      <c r="S41" s="482"/>
      <c r="T41" s="488" t="s">
        <v>121</v>
      </c>
      <c r="U41" s="413"/>
      <c r="V41" s="357"/>
      <c r="W41" s="357"/>
      <c r="X41" s="357"/>
      <c r="Y41" s="494"/>
      <c r="Z41" s="495"/>
      <c r="AD41" s="357"/>
      <c r="AE41" s="496"/>
      <c r="AF41" s="769" t="s">
        <v>161</v>
      </c>
      <c r="AG41" s="769"/>
      <c r="AH41" s="497"/>
      <c r="AI41" s="237"/>
      <c r="AJ41" s="237"/>
    </row>
    <row r="42" spans="8:36" ht="13.5" thickTop="1" x14ac:dyDescent="0.2">
      <c r="I42" s="65" t="str">
        <f>IF(R52&lt;&gt;"OK","","  At end of ")</f>
        <v/>
      </c>
      <c r="P42" s="358"/>
      <c r="Q42" s="375" t="str">
        <f t="shared" ref="Q42:Q43" si="3">"Ln"&amp;ROW()</f>
        <v>Ln42</v>
      </c>
      <c r="R42" s="491" t="s">
        <v>91</v>
      </c>
      <c r="S42" s="492"/>
      <c r="T42" s="493" t="str">
        <f>IF(AND(D15&gt;0,D18&gt;0),ROUND(D15/D16,3),"")</f>
        <v/>
      </c>
      <c r="U42" s="413"/>
      <c r="V42" s="357"/>
      <c r="W42" s="357"/>
      <c r="X42" s="357"/>
      <c r="Y42" s="357"/>
      <c r="Z42" s="357"/>
      <c r="AA42" s="357"/>
      <c r="AB42" s="357"/>
      <c r="AC42" s="357"/>
      <c r="AD42" s="357"/>
      <c r="AE42" s="357"/>
      <c r="AF42" s="357"/>
      <c r="AG42" s="357"/>
      <c r="AH42" s="357"/>
      <c r="AI42" s="237"/>
      <c r="AJ42" s="237"/>
    </row>
    <row r="43" spans="8:36" ht="13.5" thickBot="1" x14ac:dyDescent="0.25">
      <c r="I43" s="66" t="str">
        <f>IF(R52&lt;&gt;"OK","",TEXT(D17,"##.0")&amp;" Hr Trip . . ")</f>
        <v/>
      </c>
      <c r="P43" s="358"/>
      <c r="Q43" s="375" t="str">
        <f t="shared" si="3"/>
        <v>Ln43</v>
      </c>
      <c r="R43" s="491" t="s">
        <v>95</v>
      </c>
      <c r="S43" s="492"/>
      <c r="T43" s="493" t="str">
        <f>IF(AND(D15&gt;0,D16&gt;0,D18&gt;0),ROUND((D15-D18)/D16,3),"")</f>
        <v/>
      </c>
      <c r="U43" s="413"/>
      <c r="V43" s="357"/>
      <c r="W43" s="357"/>
      <c r="X43" s="357"/>
      <c r="Y43" s="357"/>
      <c r="Z43" s="357"/>
      <c r="AA43" s="498" t="str">
        <f ca="1">IF(U8=U10,"OK",IF(AA44&gt;U10,"OUT","OK"))</f>
        <v>OK</v>
      </c>
      <c r="AB43" s="415" t="s">
        <v>164</v>
      </c>
      <c r="AC43" s="357"/>
      <c r="AD43" s="357"/>
      <c r="AE43" s="498" t="str">
        <f ca="1">IF(U8=U10,"OK",IF(AND(AE44&gt;=AG44,AE44&lt;=AH44),"OK","OUT"))</f>
        <v>OK</v>
      </c>
      <c r="AF43" s="357"/>
      <c r="AG43" s="357"/>
      <c r="AH43" s="357"/>
      <c r="AI43" s="237"/>
      <c r="AJ43" s="237"/>
    </row>
    <row r="44" spans="8:36" ht="14.25" thickTop="1" thickBot="1" x14ac:dyDescent="0.25">
      <c r="I44" s="62" t="str">
        <f>IF(R52&lt;&gt;"OK","","Reserve is ~ "&amp;TEXT(T43,"##.0")&amp;" Hrs")</f>
        <v/>
      </c>
      <c r="P44" s="358"/>
      <c r="Q44" s="357"/>
      <c r="R44" s="357"/>
      <c r="S44" s="357"/>
      <c r="T44" s="357"/>
      <c r="U44" s="357"/>
      <c r="V44" s="357"/>
      <c r="W44" s="357"/>
      <c r="X44" s="357"/>
      <c r="Y44" s="416" t="s">
        <v>53</v>
      </c>
      <c r="Z44" s="417" t="s">
        <v>1</v>
      </c>
      <c r="AA44" s="499">
        <f ca="1">J19</f>
        <v>1854.9</v>
      </c>
      <c r="AB44" s="419"/>
      <c r="AC44" s="420"/>
      <c r="AD44" s="500" t="s">
        <v>40</v>
      </c>
      <c r="AE44" s="499">
        <f ca="1">K20</f>
        <v>37.74304275163081</v>
      </c>
      <c r="AF44" s="423" t="s">
        <v>61</v>
      </c>
      <c r="AG44" s="501">
        <f ca="1">VLOOKUP(AA44,Z47:AH50,8)</f>
        <v>33</v>
      </c>
      <c r="AH44" s="502">
        <f ca="1">VLOOKUP(AA44,Z47:AH50,9)</f>
        <v>46</v>
      </c>
      <c r="AI44" s="237"/>
      <c r="AJ44" s="237"/>
    </row>
    <row r="45" spans="8:36" ht="13.5" thickTop="1" x14ac:dyDescent="0.2">
      <c r="I45" s="64" t="str">
        <f>IF(R52&lt;&gt;"OK","",IF(R53&lt;&gt;"OK","Caution: &lt; 1 HR",""))</f>
        <v/>
      </c>
      <c r="P45" s="358"/>
      <c r="Q45" s="370" t="s">
        <v>175</v>
      </c>
      <c r="R45" s="371"/>
      <c r="S45" s="482"/>
      <c r="T45" s="482"/>
      <c r="U45" s="357"/>
      <c r="V45" s="357"/>
      <c r="W45" s="357"/>
      <c r="X45" s="357"/>
      <c r="Y45" s="426" t="s">
        <v>48</v>
      </c>
      <c r="Z45" s="427"/>
      <c r="AA45" s="428" t="s">
        <v>67</v>
      </c>
      <c r="AB45" s="429"/>
      <c r="AC45" s="430"/>
      <c r="AD45" s="427"/>
      <c r="AE45" s="431" t="s">
        <v>66</v>
      </c>
      <c r="AF45" s="427"/>
      <c r="AG45" s="432" t="s">
        <v>46</v>
      </c>
      <c r="AH45" s="433" t="s">
        <v>46</v>
      </c>
      <c r="AI45" s="237"/>
      <c r="AJ45" s="237"/>
    </row>
    <row r="46" spans="8:36" ht="13.5" thickBot="1" x14ac:dyDescent="0.25">
      <c r="P46" s="358"/>
      <c r="Q46" s="375" t="str">
        <f t="shared" ref="Q46:Q53" si="4">"Ln"&amp;ROW()</f>
        <v>Ln46</v>
      </c>
      <c r="R46" s="503" t="str">
        <f>IF(AND(C7="",(E7+C9+E9)&gt;0),"WARN","OK")</f>
        <v>OK</v>
      </c>
      <c r="S46" s="504" t="s">
        <v>89</v>
      </c>
      <c r="T46" s="505"/>
      <c r="U46" s="357"/>
      <c r="V46" s="357"/>
      <c r="W46" s="357"/>
      <c r="X46" s="357"/>
      <c r="Y46" s="426" t="s">
        <v>54</v>
      </c>
      <c r="Z46" s="434" t="s">
        <v>41</v>
      </c>
      <c r="AA46" s="434" t="s">
        <v>42</v>
      </c>
      <c r="AB46" s="435" t="s">
        <v>43</v>
      </c>
      <c r="AC46" s="436" t="s">
        <v>41</v>
      </c>
      <c r="AD46" s="437" t="s">
        <v>42</v>
      </c>
      <c r="AE46" s="438" t="s">
        <v>44</v>
      </c>
      <c r="AF46" s="439" t="s">
        <v>45</v>
      </c>
      <c r="AG46" s="440" t="s">
        <v>68</v>
      </c>
      <c r="AH46" s="441" t="s">
        <v>69</v>
      </c>
      <c r="AI46" s="237"/>
      <c r="AJ46" s="237"/>
    </row>
    <row r="47" spans="8:36" ht="13.5" thickTop="1" x14ac:dyDescent="0.2">
      <c r="P47" s="358"/>
      <c r="Q47" s="375" t="str">
        <f t="shared" si="4"/>
        <v>Ln47</v>
      </c>
      <c r="R47" s="503" t="str">
        <f>IF(C7+E7+C9+E9&gt;0,"INFO","OK")</f>
        <v>OK</v>
      </c>
      <c r="S47" s="504" t="s">
        <v>92</v>
      </c>
      <c r="T47" s="505"/>
      <c r="U47" s="357"/>
      <c r="V47" s="357"/>
      <c r="W47" s="357"/>
      <c r="X47" s="357"/>
      <c r="Y47" s="426" t="s">
        <v>55</v>
      </c>
      <c r="Z47" s="442">
        <f>Z40</f>
        <v>1800</v>
      </c>
      <c r="AA47" s="443">
        <f>Z36</f>
        <v>2250</v>
      </c>
      <c r="AB47" s="444">
        <f>+AA47-Z47</f>
        <v>450</v>
      </c>
      <c r="AC47" s="445">
        <f>AE40</f>
        <v>33</v>
      </c>
      <c r="AD47" s="446">
        <f>AE36</f>
        <v>33</v>
      </c>
      <c r="AE47" s="447">
        <f>AD47-AC47</f>
        <v>0</v>
      </c>
      <c r="AF47" s="448">
        <f>IF(OR(AB47=0,AE47=0),0,ROUND(AE47/AB47,5))</f>
        <v>0</v>
      </c>
      <c r="AG47" s="449">
        <f ca="1">IF(AND(AA44&gt;=Z47,AA44&lt;AA47),AC47+((AA44-Z47)*AF47),AC47)</f>
        <v>33</v>
      </c>
      <c r="AH47" s="450">
        <f>AD50</f>
        <v>46</v>
      </c>
      <c r="AI47" s="237"/>
      <c r="AJ47" s="237"/>
    </row>
    <row r="48" spans="8:36" x14ac:dyDescent="0.2">
      <c r="P48" s="358"/>
      <c r="Q48" s="375" t="str">
        <f t="shared" si="4"/>
        <v>Ln48</v>
      </c>
      <c r="R48" s="503" t="str">
        <f>IF(AND(C7&gt;0,D15=0),"WARN","OK")</f>
        <v>OK</v>
      </c>
      <c r="S48" s="506" t="s">
        <v>111</v>
      </c>
      <c r="T48" s="507"/>
      <c r="U48" s="357"/>
      <c r="V48" s="357"/>
      <c r="W48" s="357"/>
      <c r="X48" s="357"/>
      <c r="Y48" s="426" t="s">
        <v>56</v>
      </c>
      <c r="Z48" s="451">
        <f>AA47</f>
        <v>2250</v>
      </c>
      <c r="AA48" s="452">
        <f>AA32</f>
        <v>2950</v>
      </c>
      <c r="AB48" s="453">
        <f>+AA48-Z48</f>
        <v>700</v>
      </c>
      <c r="AC48" s="454">
        <f>IF(AD48=AD47,AC47,AD47)</f>
        <v>33</v>
      </c>
      <c r="AD48" s="455">
        <f>AF32</f>
        <v>39.5</v>
      </c>
      <c r="AE48" s="447">
        <f>AD48-AC48</f>
        <v>6.5</v>
      </c>
      <c r="AF48" s="448">
        <f>IF(OR(AB48=0,AE48=0),0,ROUND(AE48/AB48,5))</f>
        <v>9.2899999999999996E-3</v>
      </c>
      <c r="AG48" s="449">
        <f ca="1">IF(AND(AA44&gt;=Z48,AA44&lt;AA48),AC48+((AA44-Z48)*AF48),AC48)</f>
        <v>33</v>
      </c>
      <c r="AH48" s="213">
        <f>AH47</f>
        <v>46</v>
      </c>
      <c r="AI48" s="237"/>
      <c r="AJ48" s="237"/>
    </row>
    <row r="49" spans="8:36" x14ac:dyDescent="0.2">
      <c r="P49" s="358"/>
      <c r="Q49" s="375" t="str">
        <f t="shared" si="4"/>
        <v>Ln49</v>
      </c>
      <c r="R49" s="503" t="str">
        <f>IF(AND(C7&gt;0,D16=0),"WARN","OK")</f>
        <v>OK</v>
      </c>
      <c r="S49" s="506" t="s">
        <v>113</v>
      </c>
      <c r="T49" s="507"/>
      <c r="U49" s="357"/>
      <c r="V49" s="357"/>
      <c r="W49" s="357"/>
      <c r="X49" s="357"/>
      <c r="Y49" s="426" t="s">
        <v>54</v>
      </c>
      <c r="Z49" s="451">
        <f>AA48</f>
        <v>2950</v>
      </c>
      <c r="AA49" s="452">
        <f>AC32</f>
        <v>2950</v>
      </c>
      <c r="AB49" s="453">
        <f>+AA49-Z49</f>
        <v>0</v>
      </c>
      <c r="AC49" s="454">
        <f>IF(AD49=AD48,AC48,AD48)</f>
        <v>39.5</v>
      </c>
      <c r="AD49" s="455">
        <f>AH32</f>
        <v>46</v>
      </c>
      <c r="AE49" s="447">
        <f>AD49-AC49</f>
        <v>6.5</v>
      </c>
      <c r="AF49" s="448">
        <f>IF(OR(AB49=0,AE49=0),0,ROUND(AE49/AB49,5))</f>
        <v>0</v>
      </c>
      <c r="AG49" s="449">
        <f ca="1">IF(AND(AA44&gt;=Z49,AA44&lt;AA49),AC49+((AA44-Z49)*AF49),AC49)</f>
        <v>39.5</v>
      </c>
      <c r="AH49" s="213">
        <f>AH48</f>
        <v>46</v>
      </c>
      <c r="AI49" s="237"/>
      <c r="AJ49" s="237"/>
    </row>
    <row r="50" spans="8:36" ht="13.5" thickBot="1" x14ac:dyDescent="0.25">
      <c r="P50" s="358"/>
      <c r="Q50" s="375" t="str">
        <f t="shared" si="4"/>
        <v>Ln50</v>
      </c>
      <c r="R50" s="503" t="str">
        <f>IF(AND(C7&gt;0,D17=0),"WARN","OK")</f>
        <v>OK</v>
      </c>
      <c r="S50" s="506" t="s">
        <v>112</v>
      </c>
      <c r="T50" s="507"/>
      <c r="U50" s="357"/>
      <c r="V50" s="357"/>
      <c r="W50" s="357"/>
      <c r="X50" s="357"/>
      <c r="Y50" s="458" t="s">
        <v>57</v>
      </c>
      <c r="Z50" s="459">
        <f>AA49</f>
        <v>2950</v>
      </c>
      <c r="AA50" s="460">
        <f>AC40</f>
        <v>2950</v>
      </c>
      <c r="AB50" s="461">
        <f>+AA50-Z50</f>
        <v>0</v>
      </c>
      <c r="AC50" s="462">
        <f>IF(AD50=AD49,AC49,AD49)</f>
        <v>39.5</v>
      </c>
      <c r="AD50" s="463">
        <f>AH40</f>
        <v>46</v>
      </c>
      <c r="AE50" s="464">
        <f>AD50-AC50</f>
        <v>6.5</v>
      </c>
      <c r="AF50" s="465">
        <f>IF(OR(AB50=0,AE50=0),0,ROUND(AE50/AB50,5))</f>
        <v>0</v>
      </c>
      <c r="AG50" s="466">
        <f ca="1">IF(AND(AA44&gt;=Z50,AA44&lt;AA50),AC50+((AA44-Z50)*AF50),AC50)</f>
        <v>39.5</v>
      </c>
      <c r="AH50" s="217">
        <f>AH49</f>
        <v>46</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358"/>
      <c r="Q51" s="375" t="str">
        <f t="shared" si="4"/>
        <v>Ln51</v>
      </c>
      <c r="R51" s="503" t="str">
        <f>IF(D18&gt;D15,"ERR","OK")</f>
        <v>OK</v>
      </c>
      <c r="S51" s="506" t="s">
        <v>94</v>
      </c>
      <c r="T51" s="507"/>
      <c r="U51" s="357"/>
      <c r="V51" s="357"/>
      <c r="W51" s="357"/>
      <c r="X51" s="357"/>
      <c r="Y51" s="357"/>
      <c r="Z51" s="357"/>
      <c r="AA51" s="357"/>
      <c r="AB51" s="357"/>
      <c r="AC51" s="357"/>
      <c r="AD51" s="357"/>
      <c r="AE51" s="357"/>
      <c r="AF51" s="357"/>
      <c r="AG51" s="357"/>
      <c r="AH51" s="357"/>
      <c r="AI51" s="237"/>
      <c r="AJ51" s="237"/>
    </row>
    <row r="52" spans="8:36" x14ac:dyDescent="0.2">
      <c r="I52" s="758"/>
      <c r="J52" s="762"/>
      <c r="K52" s="762"/>
      <c r="L52" s="762"/>
      <c r="M52" s="763"/>
      <c r="P52" s="358"/>
      <c r="Q52" s="375" t="str">
        <f t="shared" si="4"/>
        <v>Ln52</v>
      </c>
      <c r="R52" s="503" t="str">
        <f>IF(OR(D15=0,D16=0,D17=0),"WARN","OK")</f>
        <v>WARN</v>
      </c>
      <c r="S52" s="506" t="s">
        <v>110</v>
      </c>
      <c r="T52" s="507"/>
      <c r="U52" s="357"/>
      <c r="V52" s="357"/>
      <c r="W52" s="357"/>
      <c r="X52" s="357"/>
      <c r="Y52" s="357"/>
      <c r="Z52" s="357"/>
      <c r="AA52" s="357"/>
      <c r="AB52" s="357"/>
      <c r="AC52" s="357"/>
      <c r="AD52" s="357"/>
      <c r="AE52" s="357"/>
      <c r="AF52" s="357"/>
      <c r="AG52" s="357"/>
      <c r="AH52" s="357"/>
      <c r="AI52" s="237"/>
      <c r="AJ52" s="237"/>
    </row>
    <row r="53" spans="8:36" ht="13.5" thickBot="1" x14ac:dyDescent="0.25">
      <c r="I53" s="759"/>
      <c r="J53" s="764"/>
      <c r="K53" s="764"/>
      <c r="L53" s="764"/>
      <c r="M53" s="765"/>
      <c r="P53" s="358"/>
      <c r="Q53" s="375" t="str">
        <f t="shared" si="4"/>
        <v>Ln53</v>
      </c>
      <c r="R53" s="503" t="str">
        <f>IF(AND(D15&gt;0,D16&gt;0,D18&gt;0,T43&lt;1),"WARN","OK")</f>
        <v>OK</v>
      </c>
      <c r="S53" s="506" t="s">
        <v>90</v>
      </c>
      <c r="T53" s="507"/>
      <c r="U53" s="357"/>
      <c r="V53" s="357"/>
      <c r="W53" s="357"/>
      <c r="X53" s="357"/>
      <c r="Y53" s="357"/>
      <c r="Z53" s="357"/>
      <c r="AA53" s="357"/>
      <c r="AB53" s="357"/>
      <c r="AC53" s="357"/>
      <c r="AD53" s="357"/>
      <c r="AE53" s="357"/>
      <c r="AF53" s="357"/>
      <c r="AG53" s="357"/>
      <c r="AH53" s="357"/>
      <c r="AI53" s="237"/>
      <c r="AJ53" s="237"/>
    </row>
    <row r="54" spans="8:36" ht="13.5" thickTop="1" x14ac:dyDescent="0.2">
      <c r="I54" s="650" t="str">
        <f>IF(C4&lt;&gt;9999,"","Env "&amp;Z23&amp;"  "&amp;AA23&amp;"  "&amp;AA24&amp;"  "&amp;AA25&amp;"  "&amp;AA26&amp;"     "&amp;AC23&amp;"  "&amp;AD23&amp;"  "&amp;AD24&amp;"  "&amp;AD25&amp;"  "&amp;AD26)</f>
        <v/>
      </c>
      <c r="P54" s="358"/>
      <c r="Q54" s="357"/>
      <c r="R54" s="357"/>
      <c r="S54" s="357"/>
      <c r="T54" s="357"/>
      <c r="U54" s="357"/>
      <c r="V54" s="357"/>
      <c r="W54" s="357"/>
      <c r="X54" s="357"/>
      <c r="Y54" s="357"/>
      <c r="Z54" s="357"/>
      <c r="AA54" s="357"/>
      <c r="AB54" s="357"/>
      <c r="AC54" s="357"/>
      <c r="AD54" s="357"/>
      <c r="AE54" s="357"/>
      <c r="AF54" s="357"/>
      <c r="AG54" s="357"/>
      <c r="AH54" s="357"/>
      <c r="AI54" s="237"/>
      <c r="AJ54" s="237"/>
    </row>
    <row r="55" spans="8:36" x14ac:dyDescent="0.2">
      <c r="I55" s="651" t="str">
        <f>IF(C4&lt;&gt;9999,"","Fuel  T "&amp;T19&amp;"   F "&amp;T18&amp;"      Load   0 "&amp;U37&amp;"  T "&amp;U38&amp;"  F "&amp;U39)</f>
        <v/>
      </c>
      <c r="P55" s="358"/>
      <c r="Q55" s="357"/>
      <c r="R55" s="357"/>
      <c r="S55" s="357"/>
      <c r="T55" s="357"/>
      <c r="U55" s="357"/>
      <c r="V55" s="357"/>
      <c r="W55" s="357"/>
      <c r="X55" s="357"/>
      <c r="Y55" s="357"/>
      <c r="Z55" s="357"/>
      <c r="AA55" s="357"/>
      <c r="AB55" s="357"/>
      <c r="AC55" s="357"/>
      <c r="AD55" s="357"/>
      <c r="AE55" s="357"/>
      <c r="AF55" s="357"/>
      <c r="AG55" s="357"/>
      <c r="AH55" s="357"/>
      <c r="AI55" s="237"/>
      <c r="AJ55" s="237"/>
    </row>
    <row r="56" spans="8:36" x14ac:dyDescent="0.2">
      <c r="P56" s="358"/>
      <c r="Q56" s="357"/>
      <c r="R56" s="357"/>
      <c r="S56" s="357"/>
      <c r="T56" s="357"/>
      <c r="U56" s="357"/>
      <c r="V56" s="357"/>
      <c r="W56" s="357"/>
      <c r="X56" s="357"/>
      <c r="Y56" s="357"/>
      <c r="Z56" s="357"/>
      <c r="AA56" s="357"/>
      <c r="AB56" s="357"/>
      <c r="AC56" s="357"/>
      <c r="AD56" s="357"/>
      <c r="AE56" s="357"/>
      <c r="AF56" s="357"/>
      <c r="AG56" s="357"/>
      <c r="AH56" s="357"/>
      <c r="AI56" s="237"/>
      <c r="AJ56" s="237"/>
    </row>
  </sheetData>
  <sheetProtection password="E398" sheet="1" objects="1" scenarios="1" selectLockedCells="1"/>
  <mergeCells count="45">
    <mergeCell ref="D18:E18"/>
    <mergeCell ref="AC13:AC15"/>
    <mergeCell ref="I51:I53"/>
    <mergeCell ref="J51:M53"/>
    <mergeCell ref="AH37:AH39"/>
    <mergeCell ref="AF41:AG41"/>
    <mergeCell ref="D28:E28"/>
    <mergeCell ref="F28:H28"/>
    <mergeCell ref="D29:E29"/>
    <mergeCell ref="D30:E30"/>
    <mergeCell ref="F30:H30"/>
    <mergeCell ref="AA35:AB35"/>
    <mergeCell ref="AF35:AG35"/>
    <mergeCell ref="AA36:AB36"/>
    <mergeCell ref="AF36:AG36"/>
    <mergeCell ref="AC37:AC39"/>
    <mergeCell ref="B21:B22"/>
    <mergeCell ref="C21:F22"/>
    <mergeCell ref="C23:F23"/>
    <mergeCell ref="C24:F24"/>
    <mergeCell ref="C25:F25"/>
    <mergeCell ref="AH13:AH15"/>
    <mergeCell ref="D15:E15"/>
    <mergeCell ref="D16:E16"/>
    <mergeCell ref="D17:E17"/>
    <mergeCell ref="AF17:AG17"/>
    <mergeCell ref="D13:E13"/>
    <mergeCell ref="C11:F11"/>
    <mergeCell ref="AA11:AB11"/>
    <mergeCell ref="AF11:AG11"/>
    <mergeCell ref="C12:F12"/>
    <mergeCell ref="AA12:AB12"/>
    <mergeCell ref="AF12:AG12"/>
    <mergeCell ref="B7:B8"/>
    <mergeCell ref="C7:D8"/>
    <mergeCell ref="E7:F8"/>
    <mergeCell ref="B9:B10"/>
    <mergeCell ref="C9:D10"/>
    <mergeCell ref="E9:F10"/>
    <mergeCell ref="C4:D4"/>
    <mergeCell ref="B1:H1"/>
    <mergeCell ref="C2:E2"/>
    <mergeCell ref="J2:K2"/>
    <mergeCell ref="D3:F3"/>
    <mergeCell ref="J3:K3"/>
  </mergeCells>
  <conditionalFormatting sqref="T37:T38">
    <cfRule type="expression" dxfId="643" priority="36" stopIfTrue="1">
      <formula>S37=""</formula>
    </cfRule>
  </conditionalFormatting>
  <conditionalFormatting sqref="I26 I28">
    <cfRule type="expression" dxfId="642" priority="37" stopIfTrue="1">
      <formula>E7=""</formula>
    </cfRule>
  </conditionalFormatting>
  <conditionalFormatting sqref="I27 I29:I30">
    <cfRule type="expression" dxfId="641" priority="38" stopIfTrue="1">
      <formula>C9=""</formula>
    </cfRule>
  </conditionalFormatting>
  <conditionalFormatting sqref="U37:U39 V19">
    <cfRule type="expression" dxfId="640" priority="42" stopIfTrue="1">
      <formula>S19=""</formula>
    </cfRule>
  </conditionalFormatting>
  <conditionalFormatting sqref="C25">
    <cfRule type="expression" dxfId="639" priority="43" stopIfTrue="1">
      <formula>AND(C7="",E7+C9+E9&gt;0)</formula>
    </cfRule>
  </conditionalFormatting>
  <conditionalFormatting sqref="B30">
    <cfRule type="expression" dxfId="638" priority="44" stopIfTrue="1">
      <formula>D29&gt;D28</formula>
    </cfRule>
  </conditionalFormatting>
  <conditionalFormatting sqref="D30:E30">
    <cfRule type="expression" dxfId="637" priority="45" stopIfTrue="1">
      <formula>D29&gt;D28</formula>
    </cfRule>
  </conditionalFormatting>
  <conditionalFormatting sqref="F30:H30">
    <cfRule type="expression" dxfId="636" priority="46" stopIfTrue="1">
      <formula>D29&gt;D28</formula>
    </cfRule>
  </conditionalFormatting>
  <conditionalFormatting sqref="B23 B25">
    <cfRule type="cellIs" dxfId="635" priority="47" stopIfTrue="1" operator="notEqual">
      <formula>""</formula>
    </cfRule>
  </conditionalFormatting>
  <conditionalFormatting sqref="B24">
    <cfRule type="cellIs" dxfId="634" priority="49" stopIfTrue="1" operator="notEqual">
      <formula>""</formula>
    </cfRule>
  </conditionalFormatting>
  <conditionalFormatting sqref="R46:R53 R8 R10 R29:R30 R33">
    <cfRule type="cellIs" dxfId="633" priority="50" stopIfTrue="1" operator="notEqual">
      <formula>""</formula>
    </cfRule>
  </conditionalFormatting>
  <conditionalFormatting sqref="S37:S39">
    <cfRule type="expression" dxfId="632" priority="51" stopIfTrue="1">
      <formula>S37=""</formula>
    </cfRule>
  </conditionalFormatting>
  <conditionalFormatting sqref="R18">
    <cfRule type="cellIs" dxfId="631" priority="52" stopIfTrue="1" operator="notEqual">
      <formula>""</formula>
    </cfRule>
  </conditionalFormatting>
  <conditionalFormatting sqref="J5">
    <cfRule type="expression" dxfId="630" priority="53" stopIfTrue="1">
      <formula>expired=TRUE</formula>
    </cfRule>
  </conditionalFormatting>
  <conditionalFormatting sqref="B1:H1">
    <cfRule type="expression" dxfId="629" priority="54" stopIfTrue="1">
      <formula>expired=TRUE</formula>
    </cfRule>
    <cfRule type="expression" dxfId="628" priority="55" stopIfTrue="1">
      <formula>old_ver=TRUE</formula>
    </cfRule>
  </conditionalFormatting>
  <conditionalFormatting sqref="I3">
    <cfRule type="expression" dxfId="627" priority="56" stopIfTrue="1">
      <formula>D3=""</formula>
    </cfRule>
  </conditionalFormatting>
  <conditionalFormatting sqref="J2">
    <cfRule type="expression" dxfId="626" priority="57" stopIfTrue="1">
      <formula>D3=""</formula>
    </cfRule>
  </conditionalFormatting>
  <conditionalFormatting sqref="L2">
    <cfRule type="expression" dxfId="625" priority="58" stopIfTrue="1">
      <formula>D3=""</formula>
    </cfRule>
  </conditionalFormatting>
  <conditionalFormatting sqref="L3">
    <cfRule type="expression" dxfId="624" priority="59" stopIfTrue="1">
      <formula>D3=""</formula>
    </cfRule>
  </conditionalFormatting>
  <conditionalFormatting sqref="J3:K3">
    <cfRule type="expression" dxfId="623" priority="60" stopIfTrue="1">
      <formula>D3=""</formula>
    </cfRule>
  </conditionalFormatting>
  <conditionalFormatting sqref="I2">
    <cfRule type="expression" dxfId="622" priority="61" stopIfTrue="1">
      <formula>AND(D3="",C2="")</formula>
    </cfRule>
  </conditionalFormatting>
  <conditionalFormatting sqref="V21">
    <cfRule type="expression" dxfId="621" priority="34" stopIfTrue="1">
      <formula>T21=""</formula>
    </cfRule>
  </conditionalFormatting>
  <conditionalFormatting sqref="E21:E22">
    <cfRule type="expression" dxfId="620" priority="62" stopIfTrue="1">
      <formula>OR(AC19="out",AF19="out")</formula>
    </cfRule>
  </conditionalFormatting>
  <conditionalFormatting sqref="M17">
    <cfRule type="expression" dxfId="619" priority="63" stopIfTrue="1">
      <formula>AE19="out"</formula>
    </cfRule>
  </conditionalFormatting>
  <conditionalFormatting sqref="K17">
    <cfRule type="expression" dxfId="618" priority="64" stopIfTrue="1">
      <formula>AE19&lt;&gt;"OK"</formula>
    </cfRule>
  </conditionalFormatting>
  <conditionalFormatting sqref="F21:F22">
    <cfRule type="expression" dxfId="617" priority="65" stopIfTrue="1">
      <formula>OR(AE19="out",AG19="out")</formula>
    </cfRule>
  </conditionalFormatting>
  <conditionalFormatting sqref="C21:C22">
    <cfRule type="expression" dxfId="616" priority="66" stopIfTrue="1">
      <formula>OR(AA19="out",AE19="out")</formula>
    </cfRule>
  </conditionalFormatting>
  <conditionalFormatting sqref="D21:D22">
    <cfRule type="expression" dxfId="615" priority="67" stopIfTrue="1">
      <formula>OR(AB19="out",#REF!="out")</formula>
    </cfRule>
  </conditionalFormatting>
  <conditionalFormatting sqref="K20">
    <cfRule type="expression" dxfId="614" priority="70" stopIfTrue="1">
      <formula>AE43&lt;&gt;"OK"</formula>
    </cfRule>
  </conditionalFormatting>
  <conditionalFormatting sqref="J16">
    <cfRule type="expression" dxfId="613" priority="71" stopIfTrue="1">
      <formula>R8&lt;&gt;"OK"</formula>
    </cfRule>
  </conditionalFormatting>
  <conditionalFormatting sqref="J19">
    <cfRule type="expression" dxfId="612" priority="72" stopIfTrue="1">
      <formula>R10&lt;&gt;"OK"</formula>
    </cfRule>
  </conditionalFormatting>
  <conditionalFormatting sqref="B21">
    <cfRule type="expression" dxfId="611" priority="73" stopIfTrue="1">
      <formula>R10&lt;&gt;"OK"</formula>
    </cfRule>
    <cfRule type="expression" dxfId="610" priority="74" stopIfTrue="1">
      <formula>R11&lt;&gt;"OK"</formula>
    </cfRule>
  </conditionalFormatting>
  <conditionalFormatting sqref="V27">
    <cfRule type="expression" dxfId="609" priority="32" stopIfTrue="1">
      <formula>T27=""</formula>
    </cfRule>
  </conditionalFormatting>
  <conditionalFormatting sqref="V26">
    <cfRule type="expression" dxfId="608" priority="33" stopIfTrue="1">
      <formula>S26=""</formula>
    </cfRule>
  </conditionalFormatting>
  <conditionalFormatting sqref="D15:E15">
    <cfRule type="expression" dxfId="607" priority="75" stopIfTrue="1">
      <formula>R18="err"</formula>
    </cfRule>
  </conditionalFormatting>
  <conditionalFormatting sqref="F23">
    <cfRule type="expression" dxfId="606" priority="76" stopIfTrue="1">
      <formula>#REF!&lt;&gt;"OK"</formula>
    </cfRule>
  </conditionalFormatting>
  <conditionalFormatting sqref="M16">
    <cfRule type="expression" dxfId="605" priority="77" stopIfTrue="1">
      <formula>J16&gt;U8</formula>
    </cfRule>
  </conditionalFormatting>
  <conditionalFormatting sqref="V18">
    <cfRule type="expression" dxfId="604" priority="78" stopIfTrue="1">
      <formula>S18=""</formula>
    </cfRule>
  </conditionalFormatting>
  <conditionalFormatting sqref="R31">
    <cfRule type="cellIs" dxfId="603" priority="27" stopIfTrue="1" operator="notEqual">
      <formula>""</formula>
    </cfRule>
  </conditionalFormatting>
  <conditionalFormatting sqref="R34">
    <cfRule type="cellIs" dxfId="602" priority="26" stopIfTrue="1" operator="notEqual">
      <formula>""</formula>
    </cfRule>
  </conditionalFormatting>
  <conditionalFormatting sqref="R32">
    <cfRule type="cellIs" dxfId="601" priority="25" stopIfTrue="1" operator="notEqual">
      <formula>""</formula>
    </cfRule>
  </conditionalFormatting>
  <conditionalFormatting sqref="B22">
    <cfRule type="expression" dxfId="600" priority="1177" stopIfTrue="1">
      <formula>R11&lt;&gt;"OK"</formula>
    </cfRule>
    <cfRule type="expression" dxfId="599" priority="1178" stopIfTrue="1">
      <formula>R29&lt;&gt;"OK"</formula>
    </cfRule>
  </conditionalFormatting>
  <conditionalFormatting sqref="C12">
    <cfRule type="expression" dxfId="598" priority="1179" stopIfTrue="1">
      <formula>R30="ERR"</formula>
    </cfRule>
  </conditionalFormatting>
  <conditionalFormatting sqref="C11">
    <cfRule type="expression" dxfId="597" priority="1180" stopIfTrue="1">
      <formula>R29="ERR"</formula>
    </cfRule>
  </conditionalFormatting>
  <conditionalFormatting sqref="C23:E23">
    <cfRule type="expression" dxfId="596" priority="1181" stopIfTrue="1">
      <formula>R53&lt;&gt;"OK"</formula>
    </cfRule>
  </conditionalFormatting>
  <conditionalFormatting sqref="C7:D8">
    <cfRule type="expression" dxfId="595" priority="1182" stopIfTrue="1">
      <formula>R46&lt;&gt;"OK"</formula>
    </cfRule>
  </conditionalFormatting>
  <conditionalFormatting sqref="D18:E18">
    <cfRule type="expression" dxfId="594" priority="1183" stopIfTrue="1">
      <formula>R51&lt;&gt;"OK"</formula>
    </cfRule>
  </conditionalFormatting>
  <conditionalFormatting sqref="B18 B20">
    <cfRule type="expression" dxfId="593" priority="1184" stopIfTrue="1">
      <formula>R51&lt;&gt;"OK"</formula>
    </cfRule>
  </conditionalFormatting>
  <conditionalFormatting sqref="D19">
    <cfRule type="expression" dxfId="592" priority="1186" stopIfTrue="1">
      <formula>R53&lt;&gt;"ok"</formula>
    </cfRule>
  </conditionalFormatting>
  <conditionalFormatting sqref="D13:E13">
    <cfRule type="expression" dxfId="591" priority="1187">
      <formula>AND(R34="ERR",D13&lt;&gt;0)</formula>
    </cfRule>
    <cfRule type="expression" dxfId="590" priority="1188" stopIfTrue="1">
      <formula>R31="ERR"</formula>
    </cfRule>
  </conditionalFormatting>
  <conditionalFormatting sqref="C12:F12">
    <cfRule type="expression" dxfId="589" priority="1189" stopIfTrue="1">
      <formula>AND(C12&lt;&gt;0,R33="ERR")</formula>
    </cfRule>
    <cfRule type="expression" dxfId="588" priority="1190" stopIfTrue="1">
      <formula>AND(R34="ERR",C12&lt;&gt;0)</formula>
    </cfRule>
  </conditionalFormatting>
  <conditionalFormatting sqref="C11:F11">
    <cfRule type="expression" dxfId="587" priority="1191" stopIfTrue="1">
      <formula>R33="ERR"</formula>
    </cfRule>
    <cfRule type="expression" dxfId="586" priority="1192" stopIfTrue="1">
      <formula>R32="ERR"</formula>
    </cfRule>
  </conditionalFormatting>
  <conditionalFormatting sqref="S21">
    <cfRule type="expression" dxfId="585" priority="12" stopIfTrue="1">
      <formula>T21=""</formula>
    </cfRule>
  </conditionalFormatting>
  <conditionalFormatting sqref="S22:S23">
    <cfRule type="expression" dxfId="584" priority="11" stopIfTrue="1">
      <formula>S22=""</formula>
    </cfRule>
  </conditionalFormatting>
  <conditionalFormatting sqref="S20">
    <cfRule type="expression" dxfId="583" priority="9">
      <formula>AND(OR(T20="",LEFT(T20,1)="F"),T18&lt;&gt;T19)</formula>
    </cfRule>
    <cfRule type="expression" dxfId="582" priority="10">
      <formula>AND(LEFT(T20,1)&lt;&gt;"F",T18=T19)</formula>
    </cfRule>
  </conditionalFormatting>
  <conditionalFormatting sqref="R20">
    <cfRule type="cellIs" dxfId="581" priority="8" stopIfTrue="1" operator="notEqual">
      <formula>""</formula>
    </cfRule>
  </conditionalFormatting>
  <conditionalFormatting sqref="V20">
    <cfRule type="expression" dxfId="580" priority="7" stopIfTrue="1">
      <formula>T20=""</formula>
    </cfRule>
  </conditionalFormatting>
  <conditionalFormatting sqref="S12:S15">
    <cfRule type="expression" dxfId="579" priority="5" stopIfTrue="1">
      <formula>S12=""</formula>
    </cfRule>
  </conditionalFormatting>
  <conditionalFormatting sqref="R11">
    <cfRule type="cellIs" dxfId="578" priority="4" stopIfTrue="1" operator="notEqual">
      <formula>""</formula>
    </cfRule>
  </conditionalFormatting>
  <conditionalFormatting sqref="S19">
    <cfRule type="expression" dxfId="577" priority="2" stopIfTrue="1">
      <formula>#REF!=""</formula>
    </cfRule>
  </conditionalFormatting>
  <conditionalFormatting sqref="C24:F24">
    <cfRule type="cellIs" dxfId="576" priority="1" stopIfTrue="1" operator="notEqual">
      <formula>""</formula>
    </cfRule>
  </conditionalFormatting>
  <dataValidations count="3">
    <dataValidation type="date" allowBlank="1" showInputMessage="1" showErrorMessage="1" errorTitle="Input Error" error="A valid date must be entered into this cell.  Enter as  mm/dd/yy  _x000a__x000a_" sqref="C2:E2" xr:uid="{00000000-0002-0000-0800-000000000000}">
      <formula1>36526</formula1>
      <formula2>44196</formula2>
    </dataValidation>
    <dataValidation type="custom" allowBlank="1" showInputMessage="1" showErrorMessage="1" errorTitle="Input Error" error="Entry must be a NUMERIC VALUE!" sqref="D15:E17 C7:F12" xr:uid="{00000000-0002-0000-0800-000001000000}">
      <formula1>ISNUMBER(C7)</formula1>
    </dataValidation>
    <dataValidation type="list" showInputMessage="1" showErrorMessage="1" errorTitle="STANDARD FUELING LEVEL" error="STANDARD FUELING LEVEL MUST BE ENTERED:_x000a_TABS,_x000a_Measured,_x000a_FULL" sqref="T20" xr:uid="{00000000-0002-0000-0800-000002000000}">
      <formula1>"TABS,Measured,FULL"</formula1>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0000FF"/>
    <pageSetUpPr fitToPage="1"/>
  </sheetPr>
  <dimension ref="B1:AJ56"/>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5" width="4.7109375" customWidth="1"/>
    <col min="16" max="16" width="11.7109375" style="41" hidden="1" customWidth="1"/>
    <col min="17" max="17" width="9.7109375" style="41" hidden="1" customWidth="1"/>
    <col min="18" max="18" width="8.42578125" style="41" hidden="1" customWidth="1"/>
    <col min="19" max="19" width="19" style="41" hidden="1" customWidth="1"/>
    <col min="20" max="22" width="7.7109375" style="41" hidden="1" customWidth="1"/>
    <col min="23" max="23" width="29.42578125" style="41" hidden="1" customWidth="1"/>
    <col min="24" max="24" width="4.7109375" style="41" hidden="1" customWidth="1"/>
    <col min="25" max="25" width="3.5703125" style="41" hidden="1" customWidth="1"/>
    <col min="26" max="33" width="9.140625" style="41" hidden="1" customWidth="1"/>
    <col min="34" max="34" width="9.5703125" style="41" hidden="1" customWidth="1"/>
    <col min="35" max="36" width="9" hidden="1" customWidth="1"/>
    <col min="37" max="37" width="8.140625" customWidth="1"/>
  </cols>
  <sheetData>
    <row r="1" spans="2:36" ht="22.15" customHeight="1" thickBot="1" x14ac:dyDescent="0.25">
      <c r="B1" s="807" t="str">
        <f ca="1">status_msg</f>
        <v/>
      </c>
      <c r="C1" s="807"/>
      <c r="D1" s="807"/>
      <c r="E1" s="807"/>
      <c r="F1" s="807"/>
      <c r="G1" s="807"/>
      <c r="H1" s="807"/>
      <c r="I1" s="514" t="str">
        <f>Q1</f>
        <v>CAP 1238</v>
      </c>
      <c r="J1" s="514" t="str">
        <f>R1</f>
        <v>N738CP</v>
      </c>
      <c r="K1" s="515"/>
      <c r="L1" s="516" t="str">
        <f>S1</f>
        <v>(230hp C182T) Long Range Tanks</v>
      </c>
      <c r="M1" s="517"/>
      <c r="P1" s="354" t="s">
        <v>178</v>
      </c>
      <c r="Q1" s="355" t="s">
        <v>143</v>
      </c>
      <c r="R1" s="355" t="s">
        <v>136</v>
      </c>
      <c r="S1" s="356" t="s">
        <v>181</v>
      </c>
      <c r="T1" s="356"/>
      <c r="U1" s="357"/>
      <c r="V1" s="357"/>
      <c r="W1" s="357"/>
      <c r="X1" s="357"/>
      <c r="Y1" s="357"/>
      <c r="Z1" s="357"/>
      <c r="AA1" s="357"/>
      <c r="AB1" s="357"/>
      <c r="AC1" s="357"/>
      <c r="AD1" s="357"/>
      <c r="AE1" s="357"/>
      <c r="AF1" s="357"/>
      <c r="AG1" s="357"/>
      <c r="AH1" s="357"/>
      <c r="AI1" s="237"/>
      <c r="AJ1" s="237"/>
    </row>
    <row r="2" spans="2:36" ht="15" customHeight="1" thickTop="1" thickBot="1" x14ac:dyDescent="0.25">
      <c r="B2" s="137" t="s">
        <v>131</v>
      </c>
      <c r="C2" s="808"/>
      <c r="D2" s="808"/>
      <c r="E2" s="809"/>
      <c r="F2" s="142" t="str">
        <f>IF(D3="","mm/dd/yy","(if not today)")</f>
        <v>mm/dd/yy</v>
      </c>
      <c r="H2" s="326"/>
      <c r="I2" s="138" t="s">
        <v>131</v>
      </c>
      <c r="J2" s="810" t="str">
        <f>IF(C3="","","Mission Symbol")&amp;"   Mission No:"</f>
        <v xml:space="preserve">   Mission No:</v>
      </c>
      <c r="K2" s="810"/>
      <c r="L2" s="327" t="s">
        <v>130</v>
      </c>
      <c r="P2" s="358"/>
      <c r="Q2" s="359" t="s">
        <v>173</v>
      </c>
      <c r="R2" s="359" t="s">
        <v>145</v>
      </c>
      <c r="S2" s="360" t="s">
        <v>172</v>
      </c>
      <c r="T2" s="361"/>
      <c r="U2" s="357"/>
      <c r="V2" s="357"/>
      <c r="W2" s="357"/>
      <c r="X2" s="357"/>
      <c r="Y2" s="357"/>
      <c r="Z2" s="357"/>
      <c r="AA2" s="357"/>
      <c r="AB2" s="357"/>
      <c r="AC2" s="357"/>
      <c r="AD2" s="357"/>
      <c r="AE2" s="357"/>
      <c r="AF2" s="357"/>
      <c r="AG2" s="357"/>
      <c r="AH2" s="357"/>
      <c r="AI2" s="237"/>
      <c r="AJ2" s="237"/>
    </row>
    <row r="3" spans="2:36" ht="15" customHeight="1" thickTop="1" thickBot="1" x14ac:dyDescent="0.25">
      <c r="B3" s="140" t="s">
        <v>137</v>
      </c>
      <c r="C3" s="328"/>
      <c r="D3" s="811"/>
      <c r="E3" s="811"/>
      <c r="F3" s="812"/>
      <c r="I3" s="131" t="str">
        <f ca="1">IF(AND(D3="",C2=""),"",IF(C2="",TODAY(),C2))</f>
        <v/>
      </c>
      <c r="J3" s="813" t="str">
        <f>IF(C3="","",IF(D3="","",C3))&amp;"      "&amp;IF(D3="","",D3)</f>
        <v xml:space="preserve">      </v>
      </c>
      <c r="K3" s="814"/>
      <c r="L3" s="132" t="str">
        <f>IF(C4="","",C4)</f>
        <v/>
      </c>
      <c r="P3" s="362"/>
      <c r="Q3" s="363"/>
      <c r="R3" s="363"/>
      <c r="S3" s="357"/>
      <c r="T3" s="357"/>
      <c r="U3" s="357"/>
      <c r="V3" s="357"/>
      <c r="W3" s="357"/>
      <c r="X3" s="357"/>
      <c r="Y3" s="357"/>
      <c r="Z3" s="364"/>
      <c r="AA3" s="357"/>
      <c r="AB3" s="365"/>
      <c r="AC3" s="357"/>
      <c r="AD3" s="357"/>
      <c r="AE3" s="357"/>
      <c r="AF3" s="357"/>
      <c r="AG3" s="357"/>
      <c r="AH3" s="357"/>
      <c r="AI3" s="237"/>
      <c r="AJ3" s="237"/>
    </row>
    <row r="4" spans="2:36" ht="12" customHeight="1" thickTop="1" x14ac:dyDescent="0.2">
      <c r="B4" s="140" t="s">
        <v>130</v>
      </c>
      <c r="C4" s="822"/>
      <c r="D4" s="823"/>
      <c r="E4" s="140"/>
      <c r="J4" s="139"/>
      <c r="P4" s="553" t="s">
        <v>222</v>
      </c>
      <c r="Q4" s="366"/>
      <c r="R4" s="366"/>
      <c r="S4" s="357"/>
      <c r="T4" s="367" t="s">
        <v>98</v>
      </c>
      <c r="U4" s="368"/>
      <c r="V4" s="369" t="s">
        <v>99</v>
      </c>
      <c r="W4" s="357"/>
      <c r="X4" s="357"/>
      <c r="Y4" s="357"/>
      <c r="Z4" s="357"/>
      <c r="AA4" s="357"/>
      <c r="AB4" s="357"/>
      <c r="AC4" s="357"/>
      <c r="AD4" s="357"/>
      <c r="AE4" s="357"/>
      <c r="AF4" s="357"/>
      <c r="AG4" s="357"/>
      <c r="AH4" s="357"/>
      <c r="AI4" s="237"/>
      <c r="AJ4" s="237"/>
    </row>
    <row r="5" spans="2:36" ht="12" customHeight="1" x14ac:dyDescent="0.2">
      <c r="I5" s="35"/>
      <c r="J5" s="36"/>
      <c r="K5" s="36"/>
      <c r="L5" s="36"/>
      <c r="M5" s="134" t="str">
        <f>"Release ID:   "&amp;release_nbr&amp;"    "&amp;TEXT(release_date,"dd mmm yyyy  ")</f>
        <v xml:space="preserve">Release ID:   R1    21 Mar 2020  </v>
      </c>
      <c r="P5" s="362"/>
      <c r="Q5" s="357"/>
      <c r="R5" s="357"/>
      <c r="S5" s="357"/>
      <c r="T5" s="357"/>
      <c r="U5" s="357"/>
      <c r="V5" s="357"/>
      <c r="W5" s="357"/>
      <c r="X5" s="357"/>
      <c r="Y5" s="357"/>
      <c r="Z5" s="357"/>
      <c r="AA5" s="357"/>
      <c r="AB5" s="357"/>
      <c r="AC5" s="357"/>
      <c r="AD5" s="357"/>
      <c r="AE5" s="357"/>
      <c r="AF5" s="357"/>
      <c r="AG5" s="357"/>
      <c r="AH5" s="357"/>
      <c r="AI5" s="237"/>
      <c r="AJ5" s="237"/>
    </row>
    <row r="6" spans="2:36" ht="12.75" customHeight="1" thickBot="1" x14ac:dyDescent="0.35">
      <c r="B6" s="3" t="s">
        <v>31</v>
      </c>
      <c r="I6" s="37" t="s">
        <v>0</v>
      </c>
      <c r="J6" s="38" t="s">
        <v>1</v>
      </c>
      <c r="K6" s="38" t="s">
        <v>2</v>
      </c>
      <c r="L6" s="39" t="s">
        <v>97</v>
      </c>
      <c r="M6" s="133" t="s">
        <v>3</v>
      </c>
      <c r="P6" s="362"/>
      <c r="Q6" s="370" t="s">
        <v>120</v>
      </c>
      <c r="R6" s="371"/>
      <c r="S6" s="371"/>
      <c r="T6" s="371"/>
      <c r="U6" s="372" t="s">
        <v>1</v>
      </c>
      <c r="V6" s="372" t="s">
        <v>2</v>
      </c>
      <c r="W6" s="373" t="s">
        <v>179</v>
      </c>
      <c r="X6" s="357"/>
      <c r="Y6" s="357"/>
      <c r="Z6" s="357"/>
      <c r="AA6" s="357"/>
      <c r="AB6" s="374" t="s">
        <v>163</v>
      </c>
      <c r="AC6" s="371"/>
      <c r="AD6" s="371"/>
      <c r="AE6" s="371"/>
      <c r="AF6" s="371"/>
      <c r="AG6" s="371"/>
      <c r="AH6" s="357"/>
      <c r="AI6" s="237"/>
      <c r="AJ6" s="237"/>
    </row>
    <row r="7" spans="2:36" ht="15" customHeight="1" thickTop="1" thickBot="1" x14ac:dyDescent="0.25">
      <c r="B7" s="803" t="s">
        <v>32</v>
      </c>
      <c r="C7" s="802"/>
      <c r="D7" s="804"/>
      <c r="E7" s="802"/>
      <c r="F7" s="800"/>
      <c r="H7" s="1"/>
      <c r="I7" s="13" t="s">
        <v>4</v>
      </c>
      <c r="J7" s="188">
        <f>U7</f>
        <v>2056.9</v>
      </c>
      <c r="K7" s="67">
        <f>V7</f>
        <v>39.47</v>
      </c>
      <c r="L7" s="68">
        <f>ROUND(J7*K7/1000,5)</f>
        <v>81.185839999999999</v>
      </c>
      <c r="M7" s="586" t="str">
        <f>IF(W7="","",W7)</f>
        <v>W/B: Yingling Aircraft 2/23/06</v>
      </c>
      <c r="P7" s="362"/>
      <c r="Q7" s="375" t="str">
        <f>"Ln"&amp;ROW()</f>
        <v>Ln7</v>
      </c>
      <c r="R7" s="376"/>
      <c r="S7" s="377" t="s">
        <v>4</v>
      </c>
      <c r="T7" s="378"/>
      <c r="U7" s="379">
        <v>2056.9</v>
      </c>
      <c r="V7" s="380">
        <v>39.47</v>
      </c>
      <c r="W7" s="381" t="s">
        <v>221</v>
      </c>
      <c r="X7" s="357"/>
      <c r="Y7" s="357"/>
      <c r="Z7" s="357"/>
      <c r="AA7" s="357"/>
      <c r="AB7" s="357"/>
      <c r="AC7" s="382"/>
      <c r="AD7" s="383" t="s">
        <v>162</v>
      </c>
      <c r="AE7" s="357"/>
      <c r="AF7" s="357"/>
      <c r="AG7" s="357"/>
      <c r="AH7" s="357"/>
      <c r="AI7" s="237"/>
      <c r="AJ7" s="237"/>
    </row>
    <row r="8" spans="2:36" ht="15" customHeight="1" thickTop="1" thickBot="1" x14ac:dyDescent="0.25">
      <c r="B8" s="803"/>
      <c r="C8" s="802"/>
      <c r="D8" s="804"/>
      <c r="E8" s="802"/>
      <c r="F8" s="800"/>
      <c r="H8" s="1"/>
      <c r="I8" s="125" t="s">
        <v>10</v>
      </c>
      <c r="J8" s="189">
        <f>D15*6</f>
        <v>0</v>
      </c>
      <c r="K8" s="69">
        <f>U18</f>
        <v>46.5</v>
      </c>
      <c r="L8" s="72">
        <f t="shared" ref="L8:L13" si="0">ROUND((J8*K8)/1000,5)</f>
        <v>0</v>
      </c>
      <c r="M8" s="11" t="str">
        <f>V18&amp;" lbs Max ("&amp;T18&amp;" gals)  "&amp;IF(OR(T18=T19,T19="",T19=0),"",V19&amp;" lbs Tabs ("&amp;T19&amp;" gals)")</f>
        <v>522 lbs Max (87 gals)  384 lbs Tabs (64 gals)</v>
      </c>
      <c r="P8" s="362"/>
      <c r="Q8" s="375" t="str">
        <f t="shared" ref="Q8:Q34" si="1">"Ln"&amp;ROW()</f>
        <v>Ln8</v>
      </c>
      <c r="R8" s="384" t="str">
        <f ca="1">IF(J16&gt;U8,"ERR","OK")</f>
        <v>OK</v>
      </c>
      <c r="S8" s="377" t="s">
        <v>168</v>
      </c>
      <c r="T8" s="378"/>
      <c r="U8" s="385">
        <v>3100</v>
      </c>
      <c r="V8" s="357"/>
      <c r="W8" s="357"/>
      <c r="X8" s="357"/>
      <c r="Y8" s="386"/>
      <c r="Z8" s="387"/>
      <c r="AA8" s="388">
        <v>3100</v>
      </c>
      <c r="AC8" s="624">
        <f>AA8</f>
        <v>3100</v>
      </c>
      <c r="AD8" s="357"/>
      <c r="AF8" s="389">
        <v>40.9</v>
      </c>
      <c r="AH8" s="390">
        <v>46</v>
      </c>
      <c r="AI8" s="237"/>
      <c r="AJ8" s="237"/>
    </row>
    <row r="9" spans="2:36" ht="15" customHeight="1" thickTop="1" thickBot="1" x14ac:dyDescent="0.25">
      <c r="B9" s="803" t="s">
        <v>33</v>
      </c>
      <c r="C9" s="802"/>
      <c r="D9" s="804"/>
      <c r="E9" s="802"/>
      <c r="F9" s="800"/>
      <c r="H9" s="1"/>
      <c r="I9" s="125" t="s">
        <v>11</v>
      </c>
      <c r="J9" s="189">
        <f>C7+E7</f>
        <v>0</v>
      </c>
      <c r="K9" s="69">
        <f>U26</f>
        <v>37</v>
      </c>
      <c r="L9" s="72">
        <f t="shared" si="0"/>
        <v>0</v>
      </c>
      <c r="M9" s="11" t="str">
        <f>IF(W26="","",W26)</f>
        <v/>
      </c>
      <c r="P9" s="362"/>
      <c r="Q9" s="375" t="str">
        <f t="shared" si="1"/>
        <v>Ln9</v>
      </c>
      <c r="R9" s="391"/>
      <c r="S9" s="377" t="s">
        <v>169</v>
      </c>
      <c r="T9" s="378"/>
      <c r="U9" s="385">
        <v>3110</v>
      </c>
      <c r="V9" s="392"/>
      <c r="W9" s="393" t="s">
        <v>176</v>
      </c>
      <c r="X9" s="357"/>
      <c r="Y9" s="394"/>
      <c r="Z9" s="395"/>
      <c r="AD9" s="357"/>
      <c r="AI9" s="237"/>
      <c r="AJ9" s="237"/>
    </row>
    <row r="10" spans="2:36" ht="15" customHeight="1" thickTop="1" thickBot="1" x14ac:dyDescent="0.3">
      <c r="B10" s="803"/>
      <c r="C10" s="802"/>
      <c r="D10" s="804"/>
      <c r="E10" s="802"/>
      <c r="F10" s="800"/>
      <c r="H10" s="1"/>
      <c r="I10" s="125" t="s">
        <v>12</v>
      </c>
      <c r="J10" s="189">
        <f>C9+E9</f>
        <v>0</v>
      </c>
      <c r="K10" s="69">
        <f>U27</f>
        <v>74</v>
      </c>
      <c r="L10" s="72">
        <f t="shared" si="0"/>
        <v>0</v>
      </c>
      <c r="M10" s="11" t="str">
        <f>IF(W27="","",W27)</f>
        <v/>
      </c>
      <c r="P10" s="362"/>
      <c r="Q10" s="375" t="str">
        <f t="shared" si="1"/>
        <v>Ln10</v>
      </c>
      <c r="R10" s="384" t="str">
        <f>IF(U8=U10,"OK",IF(J20&gt;U10,"WARN","OK"))</f>
        <v>OK</v>
      </c>
      <c r="S10" s="377" t="s">
        <v>170</v>
      </c>
      <c r="T10" s="378"/>
      <c r="U10" s="385">
        <v>2950</v>
      </c>
      <c r="V10" s="392"/>
      <c r="W10" s="393" t="s">
        <v>176</v>
      </c>
      <c r="X10" s="357"/>
      <c r="Y10" s="396" t="s">
        <v>155</v>
      </c>
      <c r="Z10" s="388">
        <v>2700</v>
      </c>
      <c r="AD10" s="357"/>
      <c r="AE10" s="389">
        <v>35.5</v>
      </c>
      <c r="AI10" s="237"/>
      <c r="AJ10" s="237"/>
    </row>
    <row r="11" spans="2:36" ht="15" customHeight="1" thickTop="1" thickBot="1" x14ac:dyDescent="0.3">
      <c r="B11" s="6" t="s">
        <v>25</v>
      </c>
      <c r="C11" s="800"/>
      <c r="D11" s="801"/>
      <c r="E11" s="801"/>
      <c r="F11" s="802"/>
      <c r="H11" s="1"/>
      <c r="I11" s="19" t="s">
        <v>13</v>
      </c>
      <c r="J11" s="189">
        <f>C11</f>
        <v>0</v>
      </c>
      <c r="K11" s="69">
        <f>U29</f>
        <v>97</v>
      </c>
      <c r="L11" s="72">
        <f t="shared" si="0"/>
        <v>0</v>
      </c>
      <c r="M11" s="11" t="str">
        <f>V29&amp;" lbs max ("&amp;V32&amp;" max baggage 1+2+3)"</f>
        <v>120 lbs max (200 max baggage 1+2+3)</v>
      </c>
      <c r="P11" s="362"/>
      <c r="Q11" s="375" t="str">
        <f t="shared" si="1"/>
        <v>Ln11</v>
      </c>
      <c r="R11" s="384" t="str">
        <f ca="1">IF(U8=U10,"OK",IF(J19&gt;U11,"WARN","OK"))</f>
        <v>OK</v>
      </c>
      <c r="S11" s="397" t="s">
        <v>171</v>
      </c>
      <c r="T11" s="398"/>
      <c r="U11" s="399">
        <f>U10</f>
        <v>2950</v>
      </c>
      <c r="V11" s="357"/>
      <c r="W11" s="357"/>
      <c r="X11" s="357"/>
      <c r="Y11" s="396" t="s">
        <v>50</v>
      </c>
      <c r="Z11" s="395"/>
      <c r="AA11" s="766" t="s">
        <v>1</v>
      </c>
      <c r="AB11" s="766"/>
      <c r="AD11" s="357"/>
      <c r="AF11" s="766" t="s">
        <v>154</v>
      </c>
      <c r="AG11" s="766"/>
      <c r="AI11" s="237"/>
      <c r="AJ11" s="237"/>
    </row>
    <row r="12" spans="2:36" ht="15" customHeight="1" thickTop="1" thickBot="1" x14ac:dyDescent="0.3">
      <c r="B12" s="6" t="s">
        <v>26</v>
      </c>
      <c r="C12" s="800"/>
      <c r="D12" s="801"/>
      <c r="E12" s="801"/>
      <c r="F12" s="802"/>
      <c r="H12" s="1"/>
      <c r="I12" s="19" t="s">
        <v>14</v>
      </c>
      <c r="J12" s="189">
        <f>C12</f>
        <v>0</v>
      </c>
      <c r="K12" s="69">
        <f>U30</f>
        <v>116</v>
      </c>
      <c r="L12" s="72">
        <f t="shared" si="0"/>
        <v>0</v>
      </c>
      <c r="M12" s="11" t="str">
        <f>V30&amp;" lbs max  ("&amp;V34&amp;" max baggage 2+3)"</f>
        <v>80 lbs max  (80 max baggage 2+3)</v>
      </c>
      <c r="P12" s="362"/>
      <c r="Q12" s="375" t="str">
        <f t="shared" si="1"/>
        <v>Ln12</v>
      </c>
      <c r="R12" s="391"/>
      <c r="S12" s="400" t="s">
        <v>7</v>
      </c>
      <c r="T12" s="391"/>
      <c r="U12" s="391"/>
      <c r="V12" s="392"/>
      <c r="W12" s="393" t="s">
        <v>176</v>
      </c>
      <c r="X12" s="357"/>
      <c r="Y12" s="396" t="s">
        <v>56</v>
      </c>
      <c r="Z12" s="388">
        <v>2250</v>
      </c>
      <c r="AA12" s="766" t="s">
        <v>153</v>
      </c>
      <c r="AB12" s="766"/>
      <c r="AD12" s="357"/>
      <c r="AE12" s="623">
        <f>AE16</f>
        <v>33</v>
      </c>
      <c r="AF12" s="766" t="s">
        <v>153</v>
      </c>
      <c r="AG12" s="766"/>
      <c r="AI12" s="237"/>
      <c r="AJ12" s="237"/>
    </row>
    <row r="13" spans="2:36" ht="15" customHeight="1" thickTop="1" x14ac:dyDescent="0.25">
      <c r="B13" s="508" t="s">
        <v>70</v>
      </c>
      <c r="D13" s="821"/>
      <c r="E13" s="821"/>
      <c r="H13" s="1"/>
      <c r="I13" s="19" t="s">
        <v>17</v>
      </c>
      <c r="J13" s="189">
        <f>D13</f>
        <v>0</v>
      </c>
      <c r="K13" s="69">
        <f>U31</f>
        <v>129</v>
      </c>
      <c r="L13" s="72">
        <f t="shared" si="0"/>
        <v>0</v>
      </c>
      <c r="M13" s="513" t="str">
        <f>V31&amp;" Lbs Max (on shelf)"</f>
        <v>80 Lbs Max (on shelf)</v>
      </c>
      <c r="P13" s="362"/>
      <c r="Q13" s="375" t="str">
        <f t="shared" si="1"/>
        <v>Ln13</v>
      </c>
      <c r="R13" s="391"/>
      <c r="S13" s="400" t="s">
        <v>194</v>
      </c>
      <c r="T13" s="391"/>
      <c r="U13" s="391"/>
      <c r="V13" s="392"/>
      <c r="W13" s="393" t="s">
        <v>176</v>
      </c>
      <c r="X13" s="357"/>
      <c r="Y13" s="396" t="s">
        <v>57</v>
      </c>
      <c r="Z13" s="395"/>
      <c r="AC13" s="767" t="s">
        <v>157</v>
      </c>
      <c r="AD13" s="357"/>
      <c r="AH13" s="767" t="s">
        <v>167</v>
      </c>
      <c r="AI13" s="237"/>
      <c r="AJ13" s="237"/>
    </row>
    <row r="14" spans="2:36" ht="15" customHeight="1" thickBot="1" x14ac:dyDescent="0.35">
      <c r="B14" s="3"/>
      <c r="C14" s="235"/>
      <c r="D14" s="2"/>
      <c r="E14" s="2"/>
      <c r="F14" s="40" t="str">
        <f>IF(R20="err","","(Std Fueling "&amp;T19&amp;" gal ("&amp;T20&amp;"))")</f>
        <v>(Std Fueling 64 gal (TABS))</v>
      </c>
      <c r="H14" s="1"/>
      <c r="I14" s="15" t="s">
        <v>6</v>
      </c>
      <c r="J14" s="71">
        <f>SUM(J7:J13)</f>
        <v>2056.9</v>
      </c>
      <c r="K14" s="26"/>
      <c r="L14" s="70">
        <f>SUM(L7:L13)</f>
        <v>81.185839999999999</v>
      </c>
      <c r="M14" s="11" t="str">
        <f>"Max Ramp Weight: "&amp;TEXT(U9,"#,###")&amp;IF(U8&lt;&gt;U10," - Landing "&amp;TEXT(U10,"#,###"),"")</f>
        <v>Max Ramp Weight: 3,110 - Landing 2,950</v>
      </c>
      <c r="P14" s="362"/>
      <c r="Q14" s="375" t="str">
        <f t="shared" si="1"/>
        <v>Ln14</v>
      </c>
      <c r="R14" s="391"/>
      <c r="S14" s="400" t="s">
        <v>24</v>
      </c>
      <c r="T14" s="391"/>
      <c r="U14" s="391"/>
      <c r="V14" s="392"/>
      <c r="W14" s="393" t="s">
        <v>177</v>
      </c>
      <c r="X14" s="357"/>
      <c r="Y14" s="396" t="s">
        <v>156</v>
      </c>
      <c r="Z14" s="395"/>
      <c r="AC14" s="767"/>
      <c r="AD14" s="357"/>
      <c r="AH14" s="767"/>
      <c r="AI14" s="237"/>
      <c r="AJ14" s="237"/>
    </row>
    <row r="15" spans="2:36" ht="15" customHeight="1" thickTop="1" thickBot="1" x14ac:dyDescent="0.3">
      <c r="B15" s="32" t="s">
        <v>88</v>
      </c>
      <c r="C15" s="4"/>
      <c r="D15" s="793"/>
      <c r="E15" s="793"/>
      <c r="F15" s="5" t="s">
        <v>36</v>
      </c>
      <c r="H15" s="1"/>
      <c r="I15" s="16" t="s">
        <v>15</v>
      </c>
      <c r="J15" s="585">
        <f>V21</f>
        <v>-10</v>
      </c>
      <c r="K15" s="69">
        <f>U18</f>
        <v>46.5</v>
      </c>
      <c r="L15" s="72">
        <f>ROUND((J15*K15)/1000,5)</f>
        <v>-0.46500000000000002</v>
      </c>
      <c r="M15" s="11" t="s">
        <v>16</v>
      </c>
      <c r="P15" s="362"/>
      <c r="Q15" s="375" t="str">
        <f t="shared" si="1"/>
        <v>Ln15</v>
      </c>
      <c r="R15" s="391"/>
      <c r="S15" s="400" t="s">
        <v>193</v>
      </c>
      <c r="T15" s="391"/>
      <c r="U15" s="391"/>
      <c r="V15" s="392"/>
      <c r="W15" s="393" t="s">
        <v>177</v>
      </c>
      <c r="X15" s="357"/>
      <c r="Y15" s="396" t="s">
        <v>47</v>
      </c>
      <c r="Z15" s="388">
        <v>1800</v>
      </c>
      <c r="AC15" s="792"/>
      <c r="AD15" s="357"/>
      <c r="AH15" s="792"/>
      <c r="AI15" s="237"/>
      <c r="AJ15" s="237"/>
    </row>
    <row r="16" spans="2:36" ht="15" customHeight="1" thickTop="1" thickBot="1" x14ac:dyDescent="0.25">
      <c r="B16" s="32" t="s">
        <v>35</v>
      </c>
      <c r="C16" s="2"/>
      <c r="D16" s="794"/>
      <c r="E16" s="795"/>
      <c r="F16" s="5" t="s">
        <v>108</v>
      </c>
      <c r="H16" s="1"/>
      <c r="I16" s="17" t="s">
        <v>7</v>
      </c>
      <c r="J16" s="126">
        <f ca="1">IF(expired=TRUE,9999,SUM(J14:J15))</f>
        <v>2046.9</v>
      </c>
      <c r="K16" s="73" t="s">
        <v>5</v>
      </c>
      <c r="L16" s="74">
        <f>SUM(L14:L15)</f>
        <v>80.720839999999995</v>
      </c>
      <c r="M16" s="110" t="str">
        <f>"Max Gross: "&amp;TEXT(U8,"#,##0")&amp;"   Useful Load: "&amp;TEXT(U37,"#,##0")</f>
        <v>Max Gross: 3,100   Useful Load: 1,043</v>
      </c>
      <c r="P16" s="362"/>
      <c r="Q16" s="401"/>
      <c r="R16" s="401"/>
      <c r="S16" s="401"/>
      <c r="T16" s="401"/>
      <c r="U16" s="401"/>
      <c r="V16" s="401"/>
      <c r="W16" s="401"/>
      <c r="X16" s="357"/>
      <c r="Y16" s="402"/>
      <c r="Z16" s="395"/>
      <c r="AC16" s="403">
        <f>AC8</f>
        <v>3100</v>
      </c>
      <c r="AD16" s="357"/>
      <c r="AE16" s="404">
        <v>33</v>
      </c>
      <c r="AF16" s="82"/>
      <c r="AG16" s="82"/>
      <c r="AH16" s="405">
        <f>AH8</f>
        <v>46</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39.435653915677364</v>
      </c>
      <c r="L17" s="75" t="s">
        <v>5</v>
      </c>
      <c r="M17" s="12" t="s">
        <v>9</v>
      </c>
      <c r="P17" s="362"/>
      <c r="Q17" s="370" t="s">
        <v>158</v>
      </c>
      <c r="R17" s="371"/>
      <c r="S17" s="371"/>
      <c r="T17" s="406" t="s">
        <v>174</v>
      </c>
      <c r="U17" s="372" t="s">
        <v>2</v>
      </c>
      <c r="V17" s="372" t="s">
        <v>118</v>
      </c>
      <c r="W17" s="373" t="s">
        <v>179</v>
      </c>
      <c r="X17" s="357"/>
      <c r="Y17" s="407"/>
      <c r="Z17" s="408"/>
      <c r="AD17" s="357"/>
      <c r="AE17" s="409"/>
      <c r="AF17" s="797" t="s">
        <v>161</v>
      </c>
      <c r="AG17" s="797"/>
      <c r="AH17" s="410"/>
      <c r="AI17" s="237"/>
      <c r="AJ17" s="237"/>
    </row>
    <row r="18" spans="2:36" ht="15" customHeight="1" thickTop="1" thickBot="1" x14ac:dyDescent="0.25">
      <c r="B18" s="32" t="s">
        <v>139</v>
      </c>
      <c r="D18" s="798">
        <f>D16*D17</f>
        <v>0</v>
      </c>
      <c r="E18" s="799"/>
      <c r="F18" s="5" t="s">
        <v>36</v>
      </c>
      <c r="H18" s="1"/>
      <c r="I18" s="23" t="s">
        <v>23</v>
      </c>
      <c r="J18" s="25">
        <f>D18*6*-1</f>
        <v>0</v>
      </c>
      <c r="K18" s="25">
        <f>K8</f>
        <v>46.5</v>
      </c>
      <c r="L18" s="92">
        <f>ROUND((J18*K18)/1000,5)</f>
        <v>0</v>
      </c>
      <c r="M18" s="29" t="s">
        <v>73</v>
      </c>
      <c r="P18" s="362"/>
      <c r="Q18" s="375" t="str">
        <f t="shared" si="1"/>
        <v>Ln18</v>
      </c>
      <c r="R18" s="384" t="str">
        <f>IF(D15&gt;T18,"ERR","OK")</f>
        <v>OK</v>
      </c>
      <c r="S18" s="548" t="s">
        <v>239</v>
      </c>
      <c r="T18" s="411">
        <v>87</v>
      </c>
      <c r="U18" s="380">
        <v>46.5</v>
      </c>
      <c r="V18" s="412">
        <f>T18*6</f>
        <v>522</v>
      </c>
      <c r="W18" s="393" t="s">
        <v>176</v>
      </c>
      <c r="X18" s="357"/>
      <c r="Y18" s="357"/>
      <c r="Z18" s="357"/>
      <c r="AA18" s="357"/>
      <c r="AB18" s="357"/>
      <c r="AC18" s="357"/>
      <c r="AD18" s="357"/>
      <c r="AE18" s="357"/>
      <c r="AF18" s="357"/>
      <c r="AG18" s="357"/>
      <c r="AH18" s="35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587">
        <f ca="1">SUM(J16:J18)</f>
        <v>2046.9</v>
      </c>
      <c r="K19" s="93"/>
      <c r="L19" s="24">
        <f>SUM(L16:L18)</f>
        <v>80.720839999999995</v>
      </c>
      <c r="M19" s="29" t="str">
        <f>IF(U8=U10,"Landing Weight Limit same as Takeoff Weight","Max Landing Weight  "&amp;TEXT(U10,"#,##0"))</f>
        <v>Max Landing Weight  2,950</v>
      </c>
      <c r="P19" s="362"/>
      <c r="Q19" s="375" t="str">
        <f t="shared" si="1"/>
        <v>Ln19</v>
      </c>
      <c r="R19" s="391"/>
      <c r="S19" s="549" t="s">
        <v>240</v>
      </c>
      <c r="T19" s="411">
        <v>64</v>
      </c>
      <c r="U19" s="413"/>
      <c r="V19" s="412">
        <f>T19*6</f>
        <v>384</v>
      </c>
      <c r="W19" s="357"/>
      <c r="X19" s="357"/>
      <c r="Y19" s="357"/>
      <c r="Z19" s="357"/>
      <c r="AA19" s="414" t="str">
        <f ca="1">IF(AA20&gt;U8,"OUT","OK")</f>
        <v>OK</v>
      </c>
      <c r="AB19" s="415" t="s">
        <v>164</v>
      </c>
      <c r="AC19" s="357"/>
      <c r="AD19" s="357"/>
      <c r="AE19" s="414" t="str">
        <f ca="1">IF(AA19="out","out",IF(AND(AE20&gt;=AG20,AE20&lt;=AH20),"OK","OUT"))</f>
        <v>OK</v>
      </c>
      <c r="AF19" s="357"/>
      <c r="AG19" s="357"/>
      <c r="AH19" s="357"/>
      <c r="AI19" s="237"/>
      <c r="AJ19" s="237"/>
    </row>
    <row r="20" spans="2:36" ht="15" customHeight="1" thickTop="1" thickBot="1" x14ac:dyDescent="0.25">
      <c r="B20" s="135" t="s">
        <v>132</v>
      </c>
      <c r="I20" s="28" t="s">
        <v>8</v>
      </c>
      <c r="J20" s="94"/>
      <c r="K20" s="589">
        <f ca="1">(L19*1000)/J19</f>
        <v>39.435653915677364</v>
      </c>
      <c r="L20" s="588"/>
      <c r="M20" s="30" t="s">
        <v>65</v>
      </c>
      <c r="P20" s="362"/>
      <c r="Q20" s="375" t="str">
        <f t="shared" si="1"/>
        <v>Ln20</v>
      </c>
      <c r="R20" s="83" t="str">
        <f>IF(AND(T18=T19,LEFT(T20,1)="F"),"OK",IF(AND(T18&lt;&gt;T19,LEFT(T20,1)&lt;&gt;"F"),"OK","ERR"))</f>
        <v>OK</v>
      </c>
      <c r="S20" s="547" t="s">
        <v>188</v>
      </c>
      <c r="T20" s="546" t="s">
        <v>187</v>
      </c>
      <c r="U20" s="397" t="s">
        <v>190</v>
      </c>
      <c r="V20" s="412"/>
      <c r="W20" s="392"/>
      <c r="X20" s="357"/>
      <c r="Y20" s="416" t="s">
        <v>47</v>
      </c>
      <c r="Z20" s="417" t="s">
        <v>1</v>
      </c>
      <c r="AA20" s="418">
        <f ca="1">J16</f>
        <v>2046.9</v>
      </c>
      <c r="AB20" s="419"/>
      <c r="AC20" s="420"/>
      <c r="AD20" s="421" t="s">
        <v>40</v>
      </c>
      <c r="AE20" s="422">
        <f ca="1">K17</f>
        <v>39.435653915677364</v>
      </c>
      <c r="AF20" s="423" t="s">
        <v>61</v>
      </c>
      <c r="AG20" s="424">
        <f ca="1">VLOOKUP(AA20,Z23:AH26,8,TRUE)</f>
        <v>33</v>
      </c>
      <c r="AH20" s="425">
        <f ca="1">VLOOKUP(AA20,Z23:AH26,9,TRUE)</f>
        <v>46</v>
      </c>
      <c r="AI20" s="237"/>
      <c r="AJ20" s="237"/>
    </row>
    <row r="21" spans="2:36" ht="13.5" thickTop="1" x14ac:dyDescent="0.2">
      <c r="B21" s="770" t="str">
        <f ca="1">IF(R10&lt;&gt;"OK","Caution - Landing Weight",IF(R11&lt;&gt;"OK","Watch Early Landing Weight",""))</f>
        <v/>
      </c>
      <c r="C21" s="772" t="str">
        <f ca="1">IF(OR(AA19="out",AE19="out"),"CAUTION:   Wt or CG Out of Limits","")</f>
        <v/>
      </c>
      <c r="D21" s="772"/>
      <c r="E21" s="772"/>
      <c r="F21" s="773"/>
      <c r="P21" s="362"/>
      <c r="Q21" s="375" t="str">
        <f t="shared" si="1"/>
        <v>Ln21</v>
      </c>
      <c r="R21" s="391"/>
      <c r="S21" s="548" t="s">
        <v>191</v>
      </c>
      <c r="T21" s="411">
        <v>1.7</v>
      </c>
      <c r="U21" s="413"/>
      <c r="V21" s="412">
        <f>ROUND(T21*6,0)*-1</f>
        <v>-10</v>
      </c>
      <c r="W21" s="357"/>
      <c r="X21" s="357"/>
      <c r="Y21" s="426" t="s">
        <v>48</v>
      </c>
      <c r="Z21" s="427"/>
      <c r="AA21" s="428" t="s">
        <v>67</v>
      </c>
      <c r="AB21" s="429"/>
      <c r="AC21" s="430"/>
      <c r="AD21" s="427"/>
      <c r="AE21" s="431" t="s">
        <v>66</v>
      </c>
      <c r="AF21" s="427"/>
      <c r="AG21" s="432" t="s">
        <v>46</v>
      </c>
      <c r="AH21" s="433" t="s">
        <v>46</v>
      </c>
      <c r="AI21" s="237"/>
      <c r="AJ21" s="237"/>
    </row>
    <row r="22" spans="2:36" ht="13.5" thickBot="1" x14ac:dyDescent="0.25">
      <c r="B22" s="771"/>
      <c r="C22" s="774"/>
      <c r="D22" s="774"/>
      <c r="E22" s="774"/>
      <c r="F22" s="775"/>
      <c r="P22" s="358"/>
      <c r="Q22" s="357"/>
      <c r="R22" s="391"/>
      <c r="S22" s="550" t="s">
        <v>15</v>
      </c>
      <c r="T22" s="391"/>
      <c r="U22" s="392"/>
      <c r="V22" s="391"/>
      <c r="W22" s="393" t="s">
        <v>177</v>
      </c>
      <c r="X22" s="357"/>
      <c r="Y22" s="426" t="s">
        <v>49</v>
      </c>
      <c r="Z22" s="434" t="s">
        <v>41</v>
      </c>
      <c r="AA22" s="434" t="s">
        <v>42</v>
      </c>
      <c r="AB22" s="435" t="s">
        <v>43</v>
      </c>
      <c r="AC22" s="436" t="s">
        <v>41</v>
      </c>
      <c r="AD22" s="437" t="s">
        <v>42</v>
      </c>
      <c r="AE22" s="438" t="s">
        <v>44</v>
      </c>
      <c r="AF22" s="439" t="s">
        <v>45</v>
      </c>
      <c r="AG22" s="440" t="s">
        <v>68</v>
      </c>
      <c r="AH22" s="441" t="s">
        <v>69</v>
      </c>
      <c r="AI22" s="237"/>
      <c r="AJ22" s="237"/>
    </row>
    <row r="23" spans="2:36" ht="13.5" thickTop="1" x14ac:dyDescent="0.2">
      <c r="B23" s="34" t="str">
        <f>IF(AND(R52&lt;&gt;"OK",R48&lt;&gt;"OK"),"Enter Fuel on Board","")</f>
        <v/>
      </c>
      <c r="C23" s="776" t="str">
        <f>IF(R53&lt;&gt;"OK","Fuel &lt;1-HR Reserve","")</f>
        <v/>
      </c>
      <c r="D23" s="776"/>
      <c r="E23" s="776"/>
      <c r="F23" s="777"/>
      <c r="I23" s="10" t="s">
        <v>64</v>
      </c>
      <c r="P23" s="358"/>
      <c r="Q23" s="401"/>
      <c r="R23" s="391"/>
      <c r="S23" s="550" t="s">
        <v>23</v>
      </c>
      <c r="T23" s="391"/>
      <c r="U23" s="392"/>
      <c r="V23" s="391"/>
      <c r="W23" s="393" t="s">
        <v>177</v>
      </c>
      <c r="X23" s="357"/>
      <c r="Y23" s="426" t="s">
        <v>50</v>
      </c>
      <c r="Z23" s="442">
        <f>Z15</f>
        <v>1800</v>
      </c>
      <c r="AA23" s="443">
        <f>Z12</f>
        <v>2250</v>
      </c>
      <c r="AB23" s="444">
        <f>+AA23-Z23</f>
        <v>450</v>
      </c>
      <c r="AC23" s="445">
        <f>AE16</f>
        <v>33</v>
      </c>
      <c r="AD23" s="446">
        <f>AE12</f>
        <v>33</v>
      </c>
      <c r="AE23" s="447">
        <f>AD23-AC23</f>
        <v>0</v>
      </c>
      <c r="AF23" s="448">
        <f>IF(OR(AB23=0,AE23=0),0,ROUND(AE23/AB23,5))</f>
        <v>0</v>
      </c>
      <c r="AG23" s="449">
        <f ca="1">IF(AND(AA20&gt;=Z23,AA20&lt;AA23),AC23+((AA20-Z23)*AF23),AC23)</f>
        <v>33</v>
      </c>
      <c r="AH23" s="450">
        <f>AD26</f>
        <v>46</v>
      </c>
      <c r="AI23" s="237"/>
      <c r="AJ23" s="237"/>
    </row>
    <row r="24" spans="2:36" ht="12.75" customHeight="1" x14ac:dyDescent="0.2">
      <c r="B24" s="77" t="str">
        <f>IF(AND(R52&lt;&gt;"OK",R49&lt;&gt;"OK"),"Enter GPH Usage","")</f>
        <v/>
      </c>
      <c r="C24" s="778" t="str">
        <f>IF(OR(R18&lt;&gt;"OK",R51&lt;&gt;"OK"),"Fueling Error","")</f>
        <v/>
      </c>
      <c r="D24" s="778"/>
      <c r="E24" s="778"/>
      <c r="F24" s="779"/>
      <c r="I24" s="9" t="s">
        <v>62</v>
      </c>
      <c r="P24" s="358"/>
      <c r="Q24" s="401"/>
      <c r="R24" s="401"/>
      <c r="S24" s="401"/>
      <c r="T24" s="401"/>
      <c r="U24" s="401"/>
      <c r="V24" s="401"/>
      <c r="W24" s="401"/>
      <c r="X24" s="357"/>
      <c r="Y24" s="426" t="s">
        <v>51</v>
      </c>
      <c r="Z24" s="451">
        <f>AA23</f>
        <v>2250</v>
      </c>
      <c r="AA24" s="452">
        <f>Z10</f>
        <v>2700</v>
      </c>
      <c r="AB24" s="453">
        <f>+AA24-Z24</f>
        <v>450</v>
      </c>
      <c r="AC24" s="454">
        <f>IF(AD24=AD23,AC23,AD23)</f>
        <v>33</v>
      </c>
      <c r="AD24" s="455">
        <f>AE10</f>
        <v>35.5</v>
      </c>
      <c r="AE24" s="447">
        <f>AD24-AC24</f>
        <v>2.5</v>
      </c>
      <c r="AF24" s="448">
        <f>IF(OR(AB24=0,AE24=0),0,ROUND(AE24/AB24,5))</f>
        <v>5.5599999999999998E-3</v>
      </c>
      <c r="AG24" s="449">
        <f ca="1">IF(AND(AA20&gt;=Z24,AA20&lt;AA24),AC24+((AA20-Z24)*AF24),AC24)</f>
        <v>33</v>
      </c>
      <c r="AH24" s="213">
        <f>AH23</f>
        <v>46</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358"/>
      <c r="Q25" s="370" t="s">
        <v>159</v>
      </c>
      <c r="R25" s="371"/>
      <c r="S25" s="371"/>
      <c r="T25" s="371"/>
      <c r="U25" s="372" t="s">
        <v>2</v>
      </c>
      <c r="V25" s="372" t="s">
        <v>1</v>
      </c>
      <c r="W25" s="373" t="s">
        <v>179</v>
      </c>
      <c r="X25" s="357"/>
      <c r="Y25" s="426" t="s">
        <v>52</v>
      </c>
      <c r="Z25" s="451">
        <f>AA24</f>
        <v>2700</v>
      </c>
      <c r="AA25" s="452">
        <f>AA8</f>
        <v>3100</v>
      </c>
      <c r="AB25" s="453">
        <f>+AA25-Z25</f>
        <v>400</v>
      </c>
      <c r="AC25" s="454">
        <f>IF(AD25=AD24,AC24,AD24)</f>
        <v>35.5</v>
      </c>
      <c r="AD25" s="455">
        <f>AF8</f>
        <v>40.9</v>
      </c>
      <c r="AE25" s="447">
        <f>AD25-AC25</f>
        <v>5.3999999999999986</v>
      </c>
      <c r="AF25" s="448">
        <f>IF(OR(AB25=0,AE25=0),0,ROUND(AE25/AB25,5))</f>
        <v>1.35E-2</v>
      </c>
      <c r="AG25" s="449">
        <f ca="1">IF(AND(AA20&gt;=Z25,AA20&lt;AA25),AC25+((AA20-Z25)*AF25),AC25)</f>
        <v>35.5</v>
      </c>
      <c r="AH25" s="213">
        <f>AH24</f>
        <v>46</v>
      </c>
      <c r="AI25" s="237"/>
      <c r="AJ25" s="237"/>
    </row>
    <row r="26" spans="2:36" ht="13.5" thickTop="1" x14ac:dyDescent="0.2">
      <c r="I26" s="8" t="str">
        <f>"R Front:  "&amp;IF(E7=0,"---",E7&amp;"#")</f>
        <v>R Front:  ---</v>
      </c>
      <c r="P26" s="358"/>
      <c r="Q26" s="375" t="str">
        <f t="shared" si="1"/>
        <v>Ln26</v>
      </c>
      <c r="R26" s="391"/>
      <c r="S26" s="456" t="s">
        <v>11</v>
      </c>
      <c r="T26" s="378"/>
      <c r="U26" s="380">
        <v>37</v>
      </c>
      <c r="V26" s="412">
        <f>C7+E7</f>
        <v>0</v>
      </c>
      <c r="W26" s="457"/>
      <c r="X26" s="357"/>
      <c r="Y26" s="458" t="s">
        <v>52</v>
      </c>
      <c r="Z26" s="459">
        <f>AA25</f>
        <v>3100</v>
      </c>
      <c r="AA26" s="460">
        <f>AC8</f>
        <v>3100</v>
      </c>
      <c r="AB26" s="461">
        <f>+AA26-Z26</f>
        <v>0</v>
      </c>
      <c r="AC26" s="462">
        <f>IF(AD26=AD25,AC25,AD25)</f>
        <v>40.9</v>
      </c>
      <c r="AD26" s="463">
        <f>AH8</f>
        <v>46</v>
      </c>
      <c r="AE26" s="464">
        <f>AD26-AC26</f>
        <v>5.1000000000000014</v>
      </c>
      <c r="AF26" s="465">
        <f>IF(OR(AB26=0,AE26=0),0,ROUND(AE26/AB26,5))</f>
        <v>0</v>
      </c>
      <c r="AG26" s="466">
        <f ca="1">IF(AND(AA20&gt;=Z26,AA20&lt;AA26),AC26+((AA20-Z26)*AF26),AC26)</f>
        <v>40.9</v>
      </c>
      <c r="AH26" s="217">
        <f>AH25</f>
        <v>46</v>
      </c>
      <c r="AI26" s="237"/>
      <c r="AJ26" s="237"/>
    </row>
    <row r="27" spans="2:36" ht="12.75" customHeight="1" x14ac:dyDescent="0.2">
      <c r="B27" s="60" t="s">
        <v>79</v>
      </c>
      <c r="H27" s="1"/>
      <c r="I27" s="8" t="str">
        <f>"L  Rear:  "&amp;IF(C9=0,"---",C9&amp;"#")</f>
        <v>L  Rear:  ---</v>
      </c>
      <c r="P27" s="358"/>
      <c r="Q27" s="375" t="str">
        <f t="shared" si="1"/>
        <v>Ln27</v>
      </c>
      <c r="R27" s="391"/>
      <c r="S27" s="456" t="s">
        <v>12</v>
      </c>
      <c r="T27" s="378"/>
      <c r="U27" s="380">
        <v>74</v>
      </c>
      <c r="V27" s="412">
        <f>C9+E9</f>
        <v>0</v>
      </c>
      <c r="W27" s="457"/>
      <c r="X27" s="357"/>
      <c r="Y27" s="357"/>
      <c r="Z27" s="357"/>
      <c r="AA27" s="357"/>
      <c r="AB27" s="357"/>
      <c r="AC27" s="357"/>
      <c r="AD27" s="357"/>
      <c r="AE27" s="357"/>
      <c r="AF27" s="357"/>
      <c r="AG27" s="357"/>
      <c r="AH27" s="357"/>
      <c r="AI27" s="237"/>
      <c r="AJ27" s="237"/>
    </row>
    <row r="28" spans="2:36" ht="13.5" thickBot="1" x14ac:dyDescent="0.25">
      <c r="B28" s="22" t="s">
        <v>127</v>
      </c>
      <c r="D28" s="782">
        <f>U37+(J15*-1)</f>
        <v>1053</v>
      </c>
      <c r="E28" s="783"/>
      <c r="F28" s="784" t="str">
        <f>"( "&amp;TEXT(U37,"#,##0")&amp;"+"&amp;J15*-1&amp;" )"</f>
        <v>( 1,043+10 )</v>
      </c>
      <c r="G28" s="785"/>
      <c r="H28" s="785"/>
      <c r="I28" s="8" t="str">
        <f>"R  Rear:  "&amp;IF(E9=0,"---",E9&amp;"#")</f>
        <v>R  Rear:  ---</v>
      </c>
      <c r="P28" s="358"/>
      <c r="Q28" s="357"/>
      <c r="R28" s="357"/>
      <c r="S28" s="357"/>
      <c r="T28" s="357"/>
      <c r="U28" s="413"/>
      <c r="V28" s="413"/>
      <c r="W28" s="357"/>
      <c r="X28" s="357"/>
      <c r="Y28" s="357"/>
      <c r="Z28" s="357"/>
      <c r="AA28" s="357"/>
      <c r="AB28" s="357"/>
      <c r="AC28" s="357"/>
      <c r="AD28" s="357"/>
      <c r="AE28" s="357"/>
      <c r="AF28" s="357"/>
      <c r="AG28" s="357"/>
      <c r="AH28" s="357"/>
      <c r="AI28" s="237"/>
      <c r="AJ28" s="237"/>
    </row>
    <row r="29" spans="2:36" ht="13.5" thickBot="1" x14ac:dyDescent="0.25">
      <c r="B29" s="22" t="s">
        <v>126</v>
      </c>
      <c r="D29" s="786">
        <f>SUM(J8:J13)</f>
        <v>0</v>
      </c>
      <c r="E29" s="787"/>
      <c r="I29" s="8" t="str">
        <f>"Bag 1:  "&amp;IF(C11=0,"---",C11&amp;"#")</f>
        <v>Bag 1:  ---</v>
      </c>
      <c r="P29" s="358"/>
      <c r="Q29" s="375" t="str">
        <f t="shared" si="1"/>
        <v>Ln29</v>
      </c>
      <c r="R29" s="467" t="str">
        <f>IF(C11&gt;V29,"ERR","OK")</f>
        <v>OK</v>
      </c>
      <c r="S29" s="456" t="s">
        <v>25</v>
      </c>
      <c r="T29" s="512">
        <f>C11</f>
        <v>0</v>
      </c>
      <c r="U29" s="380">
        <v>97</v>
      </c>
      <c r="V29" s="468">
        <v>120</v>
      </c>
      <c r="W29" s="393" t="s">
        <v>176</v>
      </c>
      <c r="X29" s="357"/>
      <c r="Y29" s="357"/>
      <c r="Z29" s="357"/>
      <c r="AA29" s="357"/>
      <c r="AB29" s="357"/>
      <c r="AC29" s="357"/>
      <c r="AD29" s="357"/>
      <c r="AE29" s="357"/>
      <c r="AF29" s="357"/>
      <c r="AG29" s="357"/>
      <c r="AH29" s="357"/>
      <c r="AI29" s="237"/>
      <c r="AJ29" s="237"/>
    </row>
    <row r="30" spans="2:36" ht="15.75" x14ac:dyDescent="0.3">
      <c r="B30" s="22" t="str">
        <f>IF(D29&lt;=D28,"Lbs before overweight","OVERWEIGHT")</f>
        <v>Lbs before overweight</v>
      </c>
      <c r="D30" s="788">
        <f>ABS(D28-D29)</f>
        <v>1053</v>
      </c>
      <c r="E30" s="789"/>
      <c r="F30" s="790" t="str">
        <f>IF(D29&gt;D28,"# Over","")</f>
        <v/>
      </c>
      <c r="G30" s="791"/>
      <c r="H30" s="791"/>
      <c r="I30" s="8" t="str">
        <f>"Bag 2:  "&amp;IF(C12=0,"---",C12&amp;"#")</f>
        <v>Bag 2:  ---</v>
      </c>
      <c r="P30" s="358"/>
      <c r="Q30" s="375" t="str">
        <f t="shared" si="1"/>
        <v>Ln30</v>
      </c>
      <c r="R30" s="467" t="str">
        <f>IF(C12&gt;V30,"ERR","OK")</f>
        <v>OK</v>
      </c>
      <c r="S30" s="456" t="s">
        <v>26</v>
      </c>
      <c r="T30" s="512">
        <f>C12</f>
        <v>0</v>
      </c>
      <c r="U30" s="380">
        <v>116</v>
      </c>
      <c r="V30" s="468">
        <v>80</v>
      </c>
      <c r="W30" s="393" t="s">
        <v>176</v>
      </c>
      <c r="X30" s="357"/>
      <c r="Y30" s="357"/>
      <c r="Z30" s="472"/>
      <c r="AA30" s="473"/>
      <c r="AB30" s="474" t="s">
        <v>165</v>
      </c>
      <c r="AC30" s="371"/>
      <c r="AD30" s="371"/>
      <c r="AE30" s="371"/>
      <c r="AF30" s="371"/>
      <c r="AG30" s="371"/>
      <c r="AH30" s="357"/>
      <c r="AI30" s="237"/>
      <c r="AJ30" s="237"/>
    </row>
    <row r="31" spans="2:36" ht="15.75" thickBot="1" x14ac:dyDescent="0.3">
      <c r="P31" s="358"/>
      <c r="Q31" s="375" t="str">
        <f t="shared" si="1"/>
        <v>Ln31</v>
      </c>
      <c r="R31" s="511" t="str">
        <f>IF(D13&gt;V31,"ERR","OK")</f>
        <v>OK</v>
      </c>
      <c r="S31" s="509" t="s">
        <v>28</v>
      </c>
      <c r="T31" s="512">
        <f>D13</f>
        <v>0</v>
      </c>
      <c r="U31" s="380">
        <v>129</v>
      </c>
      <c r="V31" s="468">
        <v>80</v>
      </c>
      <c r="W31" s="393" t="s">
        <v>176</v>
      </c>
      <c r="X31" s="357"/>
      <c r="Y31" s="357"/>
      <c r="Z31" s="357"/>
      <c r="AA31" s="357"/>
      <c r="AB31" s="357"/>
      <c r="AC31" s="382" t="s">
        <v>162</v>
      </c>
      <c r="AD31" s="357"/>
      <c r="AE31" s="357"/>
      <c r="AF31" s="357"/>
      <c r="AG31" s="473"/>
      <c r="AH31" s="357"/>
      <c r="AI31" s="237"/>
      <c r="AJ31" s="237"/>
    </row>
    <row r="32" spans="2:36" ht="13.5" thickTop="1" x14ac:dyDescent="0.2">
      <c r="I32" s="8"/>
      <c r="P32" s="358"/>
      <c r="Q32" s="375" t="str">
        <f t="shared" si="1"/>
        <v>Ln32</v>
      </c>
      <c r="R32" s="511" t="str">
        <f>IF(C11+C12+D13&gt;V32,"ERR","OK")</f>
        <v>OK</v>
      </c>
      <c r="S32" s="510" t="s">
        <v>29</v>
      </c>
      <c r="T32" s="512">
        <f>SUM(C11,C12,D13)</f>
        <v>0</v>
      </c>
      <c r="U32" s="471"/>
      <c r="V32" s="468">
        <v>200</v>
      </c>
      <c r="W32" s="357"/>
      <c r="X32" s="357"/>
      <c r="Y32" s="476"/>
      <c r="Z32" s="477"/>
      <c r="AA32" s="478">
        <v>2950</v>
      </c>
      <c r="AC32" s="403">
        <f>AA32</f>
        <v>2950</v>
      </c>
      <c r="AD32" s="357"/>
      <c r="AF32" s="479">
        <v>39.5</v>
      </c>
      <c r="AH32" s="390">
        <v>46</v>
      </c>
      <c r="AI32" s="237"/>
      <c r="AJ32" s="237"/>
    </row>
    <row r="33" spans="8:36" x14ac:dyDescent="0.2">
      <c r="I33" s="9" t="s">
        <v>63</v>
      </c>
      <c r="P33" s="358"/>
      <c r="Q33" s="375" t="str">
        <f t="shared" si="1"/>
        <v>Ln33</v>
      </c>
      <c r="R33" s="511" t="str">
        <f>IF(C11+C12&gt;V33,"ERR","OK")</f>
        <v>OK</v>
      </c>
      <c r="S33" s="470" t="s">
        <v>30</v>
      </c>
      <c r="T33" s="512"/>
      <c r="U33" s="471"/>
      <c r="V33" s="468">
        <v>200</v>
      </c>
      <c r="W33" s="357"/>
      <c r="X33" s="357"/>
      <c r="Y33" s="480"/>
      <c r="Z33" s="82"/>
      <c r="AD33" s="357"/>
      <c r="AI33" s="237"/>
      <c r="AJ33" s="237"/>
    </row>
    <row r="34" spans="8:36" ht="13.5" x14ac:dyDescent="0.25">
      <c r="I34" s="10" t="str">
        <f>"Start:  "&amp;TEXT(D15,("###.0"))&amp;" USG"</f>
        <v>Start:  .0 USG</v>
      </c>
      <c r="P34" s="358"/>
      <c r="Q34" s="375" t="str">
        <f t="shared" si="1"/>
        <v>Ln34</v>
      </c>
      <c r="R34" s="511" t="str">
        <f>IF(C12+D13&gt;V34,"ERR","OK")</f>
        <v>OK</v>
      </c>
      <c r="S34" s="510" t="s">
        <v>71</v>
      </c>
      <c r="T34" s="512"/>
      <c r="U34" s="471"/>
      <c r="V34" s="468">
        <v>80</v>
      </c>
      <c r="W34" s="357"/>
      <c r="X34" s="357"/>
      <c r="Y34" s="481" t="s">
        <v>155</v>
      </c>
      <c r="Z34" s="478">
        <v>2700</v>
      </c>
      <c r="AD34" s="357"/>
      <c r="AE34" s="483">
        <v>35.700000000000003</v>
      </c>
      <c r="AI34" s="237"/>
      <c r="AJ34" s="237"/>
    </row>
    <row r="35" spans="8:36" ht="13.5" x14ac:dyDescent="0.25">
      <c r="I35" s="10" t="str">
        <f>"Used:    "&amp;TEXT(D18,("###.0"))&amp;" USG"</f>
        <v>Used:    .0 USG</v>
      </c>
      <c r="P35" s="358"/>
      <c r="Q35" s="357"/>
      <c r="R35" s="357"/>
      <c r="S35" s="357"/>
      <c r="T35" s="357"/>
      <c r="U35" s="357"/>
      <c r="V35" s="357"/>
      <c r="W35" s="357"/>
      <c r="X35" s="357"/>
      <c r="Y35" s="481" t="s">
        <v>50</v>
      </c>
      <c r="Z35" s="82"/>
      <c r="AA35" s="766" t="s">
        <v>1</v>
      </c>
      <c r="AB35" s="766"/>
      <c r="AD35" s="357"/>
      <c r="AF35" s="766" t="s">
        <v>154</v>
      </c>
      <c r="AG35" s="766"/>
      <c r="AI35" s="237"/>
      <c r="AJ35" s="237"/>
    </row>
    <row r="36" spans="8:36" ht="13.5" x14ac:dyDescent="0.25">
      <c r="I36" s="10" t="str">
        <f>"Reserve:  "&amp;TEXT(D15-D18,"###.0")&amp;" USG"</f>
        <v>Reserve:  .0 USG</v>
      </c>
      <c r="P36" s="358"/>
      <c r="Q36" s="370" t="s">
        <v>160</v>
      </c>
      <c r="R36" s="371"/>
      <c r="S36" s="371"/>
      <c r="T36" s="371"/>
      <c r="U36" s="482" t="s">
        <v>1</v>
      </c>
      <c r="V36" s="357"/>
      <c r="W36" s="357"/>
      <c r="X36" s="357"/>
      <c r="Y36" s="481" t="s">
        <v>56</v>
      </c>
      <c r="Z36" s="478">
        <v>2250</v>
      </c>
      <c r="AA36" s="766" t="s">
        <v>153</v>
      </c>
      <c r="AB36" s="766"/>
      <c r="AD36" s="357"/>
      <c r="AE36" s="628">
        <f>AE40</f>
        <v>33</v>
      </c>
      <c r="AF36" s="766" t="s">
        <v>153</v>
      </c>
      <c r="AG36" s="766"/>
      <c r="AI36" s="237"/>
      <c r="AJ36" s="237"/>
    </row>
    <row r="37" spans="8:36" ht="13.5" x14ac:dyDescent="0.25">
      <c r="P37" s="358"/>
      <c r="Q37" s="375" t="str">
        <f t="shared" ref="Q37:Q39" si="2">"Ln"&amp;ROW()</f>
        <v>Ln37</v>
      </c>
      <c r="R37" s="484"/>
      <c r="S37" s="400" t="s">
        <v>77</v>
      </c>
      <c r="T37" s="485"/>
      <c r="U37" s="486">
        <f>ROUNDDOWN(U8-U7,0)</f>
        <v>1043</v>
      </c>
      <c r="V37" s="357"/>
      <c r="W37" s="357"/>
      <c r="X37" s="357"/>
      <c r="Y37" s="481" t="s">
        <v>57</v>
      </c>
      <c r="Z37" s="82"/>
      <c r="AC37" s="767" t="s">
        <v>157</v>
      </c>
      <c r="AD37" s="357"/>
      <c r="AH37" s="767" t="s">
        <v>157</v>
      </c>
      <c r="AI37" s="237"/>
      <c r="AJ37" s="237"/>
    </row>
    <row r="38" spans="8:36" ht="13.5" x14ac:dyDescent="0.25">
      <c r="I38" s="9" t="s">
        <v>72</v>
      </c>
      <c r="P38" s="358"/>
      <c r="Q38" s="375" t="str">
        <f t="shared" si="2"/>
        <v>Ln38</v>
      </c>
      <c r="R38" s="484"/>
      <c r="S38" s="400" t="s">
        <v>76</v>
      </c>
      <c r="T38" s="485"/>
      <c r="U38" s="486">
        <f>IF(T19=0,"",U37-V19)</f>
        <v>659</v>
      </c>
      <c r="V38" s="357"/>
      <c r="W38" s="357"/>
      <c r="X38" s="357"/>
      <c r="Y38" s="481" t="s">
        <v>156</v>
      </c>
      <c r="Z38" s="82"/>
      <c r="AC38" s="767"/>
      <c r="AD38" s="357"/>
      <c r="AH38" s="767"/>
      <c r="AI38" s="237"/>
      <c r="AJ38" s="237"/>
    </row>
    <row r="39" spans="8:36" ht="13.5" x14ac:dyDescent="0.25">
      <c r="H39" s="7"/>
      <c r="I39" s="63" t="str">
        <f>IF(T42="","","Max Flight (NO Res)")</f>
        <v/>
      </c>
      <c r="P39" s="358"/>
      <c r="Q39" s="375" t="str">
        <f t="shared" si="2"/>
        <v>Ln39</v>
      </c>
      <c r="R39" s="484"/>
      <c r="S39" s="400" t="s">
        <v>78</v>
      </c>
      <c r="T39" s="487"/>
      <c r="U39" s="486">
        <f>U37-V18</f>
        <v>521</v>
      </c>
      <c r="V39" s="357"/>
      <c r="W39" s="357"/>
      <c r="X39" s="357"/>
      <c r="Y39" s="481" t="s">
        <v>47</v>
      </c>
      <c r="Z39" s="82"/>
      <c r="AC39" s="768"/>
      <c r="AD39" s="357"/>
      <c r="AH39" s="768"/>
      <c r="AI39" s="237"/>
      <c r="AJ39" s="237"/>
    </row>
    <row r="40" spans="8:36" x14ac:dyDescent="0.2">
      <c r="H40" s="7"/>
      <c r="I40" s="21" t="str">
        <f>IF(T42="","","~"&amp;TEXT(T42,("##.0"))&amp;" hrs")</f>
        <v/>
      </c>
      <c r="P40" s="358"/>
      <c r="Q40" s="357"/>
      <c r="R40" s="357"/>
      <c r="S40" s="357"/>
      <c r="T40" s="413"/>
      <c r="U40" s="413"/>
      <c r="V40" s="357"/>
      <c r="W40" s="357"/>
      <c r="X40" s="357"/>
      <c r="Y40" s="480"/>
      <c r="Z40" s="478">
        <v>1800</v>
      </c>
      <c r="AC40" s="403">
        <f>AC32</f>
        <v>2950</v>
      </c>
      <c r="AD40" s="357"/>
      <c r="AE40" s="489">
        <v>33</v>
      </c>
      <c r="AF40" s="82"/>
      <c r="AG40" s="82"/>
      <c r="AH40" s="490">
        <f>AH32</f>
        <v>46</v>
      </c>
      <c r="AI40" s="242"/>
      <c r="AJ40" s="242"/>
    </row>
    <row r="41" spans="8:36" ht="14.25" thickBot="1" x14ac:dyDescent="0.3">
      <c r="I41" s="61" t="str">
        <f>IF(T42="","","@ "&amp;TEXT(D16,"##.0")&amp;" GPH")</f>
        <v/>
      </c>
      <c r="P41" s="358"/>
      <c r="Q41" s="370" t="s">
        <v>119</v>
      </c>
      <c r="R41" s="371"/>
      <c r="S41" s="482"/>
      <c r="T41" s="488" t="s">
        <v>121</v>
      </c>
      <c r="U41" s="413"/>
      <c r="V41" s="357"/>
      <c r="W41" s="357"/>
      <c r="X41" s="357"/>
      <c r="Y41" s="494"/>
      <c r="Z41" s="495"/>
      <c r="AD41" s="357"/>
      <c r="AE41" s="496"/>
      <c r="AF41" s="769" t="s">
        <v>161</v>
      </c>
      <c r="AG41" s="769"/>
      <c r="AH41" s="497"/>
      <c r="AI41" s="237"/>
      <c r="AJ41" s="237"/>
    </row>
    <row r="42" spans="8:36" ht="13.5" thickTop="1" x14ac:dyDescent="0.2">
      <c r="I42" s="65" t="str">
        <f>IF(R52&lt;&gt;"OK","","  At end of ")</f>
        <v/>
      </c>
      <c r="P42" s="358"/>
      <c r="Q42" s="375" t="str">
        <f t="shared" ref="Q42:Q43" si="3">"Ln"&amp;ROW()</f>
        <v>Ln42</v>
      </c>
      <c r="R42" s="491" t="s">
        <v>91</v>
      </c>
      <c r="S42" s="492"/>
      <c r="T42" s="493" t="str">
        <f>IF(AND(D15&gt;0,D18&gt;0),ROUND(D15/D16,3),"")</f>
        <v/>
      </c>
      <c r="U42" s="413"/>
      <c r="V42" s="357"/>
      <c r="W42" s="357"/>
      <c r="X42" s="357"/>
      <c r="Y42" s="357"/>
      <c r="Z42" s="357"/>
      <c r="AA42" s="357"/>
      <c r="AB42" s="357"/>
      <c r="AC42" s="357"/>
      <c r="AD42" s="357"/>
      <c r="AE42" s="357"/>
      <c r="AF42" s="357"/>
      <c r="AG42" s="357"/>
      <c r="AH42" s="357"/>
      <c r="AI42" s="237"/>
      <c r="AJ42" s="237"/>
    </row>
    <row r="43" spans="8:36" ht="13.5" thickBot="1" x14ac:dyDescent="0.25">
      <c r="I43" s="66" t="str">
        <f>IF(R52&lt;&gt;"OK","",TEXT(D17,"##.0")&amp;" Hr Trip . . ")</f>
        <v/>
      </c>
      <c r="P43" s="358"/>
      <c r="Q43" s="375" t="str">
        <f t="shared" si="3"/>
        <v>Ln43</v>
      </c>
      <c r="R43" s="491" t="s">
        <v>95</v>
      </c>
      <c r="S43" s="492"/>
      <c r="T43" s="493" t="str">
        <f>IF(AND(D15&gt;0,D16&gt;0,D18&gt;0),ROUND((D15-D18)/D16,3),"")</f>
        <v/>
      </c>
      <c r="U43" s="413"/>
      <c r="V43" s="357"/>
      <c r="W43" s="357"/>
      <c r="X43" s="357"/>
      <c r="Y43" s="357"/>
      <c r="Z43" s="357"/>
      <c r="AA43" s="498" t="str">
        <f ca="1">IF(U8=U10,"OK",IF(AA44&gt;U10,"OUT","OK"))</f>
        <v>OK</v>
      </c>
      <c r="AB43" s="415" t="s">
        <v>164</v>
      </c>
      <c r="AC43" s="357"/>
      <c r="AD43" s="357"/>
      <c r="AE43" s="498" t="str">
        <f ca="1">IF(U8=U10,"OK",IF(AND(AE44&gt;=AG44,AE44&lt;=AH44),"OK","OUT"))</f>
        <v>OK</v>
      </c>
      <c r="AF43" s="357"/>
      <c r="AG43" s="357"/>
      <c r="AH43" s="357"/>
      <c r="AI43" s="237"/>
      <c r="AJ43" s="237"/>
    </row>
    <row r="44" spans="8:36" ht="14.25" thickTop="1" thickBot="1" x14ac:dyDescent="0.25">
      <c r="I44" s="62" t="str">
        <f>IF(R52&lt;&gt;"OK","","Reserve is ~ "&amp;TEXT(T43,"##.0")&amp;" Hrs")</f>
        <v/>
      </c>
      <c r="P44" s="358"/>
      <c r="Q44" s="357"/>
      <c r="R44" s="357"/>
      <c r="S44" s="357"/>
      <c r="T44" s="357"/>
      <c r="U44" s="357"/>
      <c r="V44" s="357"/>
      <c r="W44" s="357"/>
      <c r="X44" s="357"/>
      <c r="Y44" s="416" t="s">
        <v>53</v>
      </c>
      <c r="Z44" s="417" t="s">
        <v>1</v>
      </c>
      <c r="AA44" s="499">
        <f ca="1">J19</f>
        <v>2046.9</v>
      </c>
      <c r="AB44" s="419"/>
      <c r="AC44" s="420"/>
      <c r="AD44" s="500" t="s">
        <v>40</v>
      </c>
      <c r="AE44" s="499">
        <f ca="1">K20</f>
        <v>39.435653915677364</v>
      </c>
      <c r="AF44" s="423" t="s">
        <v>61</v>
      </c>
      <c r="AG44" s="501">
        <f ca="1">VLOOKUP(AA44,Z47:AH50,8)</f>
        <v>33</v>
      </c>
      <c r="AH44" s="502">
        <f ca="1">VLOOKUP(AA44,Z47:AH50,9)</f>
        <v>46</v>
      </c>
      <c r="AI44" s="237"/>
      <c r="AJ44" s="237"/>
    </row>
    <row r="45" spans="8:36" ht="13.5" thickTop="1" x14ac:dyDescent="0.2">
      <c r="I45" s="64" t="str">
        <f>IF(R52&lt;&gt;"OK","",IF(R53&lt;&gt;"OK","Caution: &lt; 1 HR",""))</f>
        <v/>
      </c>
      <c r="P45" s="358"/>
      <c r="Q45" s="370" t="s">
        <v>175</v>
      </c>
      <c r="R45" s="371"/>
      <c r="S45" s="482"/>
      <c r="T45" s="482"/>
      <c r="U45" s="357"/>
      <c r="V45" s="357"/>
      <c r="W45" s="357"/>
      <c r="X45" s="357"/>
      <c r="Y45" s="426" t="s">
        <v>48</v>
      </c>
      <c r="Z45" s="427"/>
      <c r="AA45" s="428" t="s">
        <v>67</v>
      </c>
      <c r="AB45" s="429"/>
      <c r="AC45" s="430"/>
      <c r="AD45" s="427"/>
      <c r="AE45" s="431" t="s">
        <v>66</v>
      </c>
      <c r="AF45" s="427"/>
      <c r="AG45" s="432" t="s">
        <v>46</v>
      </c>
      <c r="AH45" s="433" t="s">
        <v>46</v>
      </c>
      <c r="AI45" s="237"/>
      <c r="AJ45" s="237"/>
    </row>
    <row r="46" spans="8:36" ht="13.5" thickBot="1" x14ac:dyDescent="0.25">
      <c r="P46" s="358"/>
      <c r="Q46" s="375" t="str">
        <f t="shared" ref="Q46:Q53" si="4">"Ln"&amp;ROW()</f>
        <v>Ln46</v>
      </c>
      <c r="R46" s="503" t="str">
        <f>IF(AND(C7="",(E7+C9+E9)&gt;0),"WARN","OK")</f>
        <v>OK</v>
      </c>
      <c r="S46" s="504" t="s">
        <v>89</v>
      </c>
      <c r="T46" s="505"/>
      <c r="U46" s="357"/>
      <c r="V46" s="357"/>
      <c r="W46" s="357"/>
      <c r="X46" s="357"/>
      <c r="Y46" s="426" t="s">
        <v>54</v>
      </c>
      <c r="Z46" s="434" t="s">
        <v>41</v>
      </c>
      <c r="AA46" s="434" t="s">
        <v>42</v>
      </c>
      <c r="AB46" s="435" t="s">
        <v>43</v>
      </c>
      <c r="AC46" s="436" t="s">
        <v>41</v>
      </c>
      <c r="AD46" s="437" t="s">
        <v>42</v>
      </c>
      <c r="AE46" s="438" t="s">
        <v>44</v>
      </c>
      <c r="AF46" s="439" t="s">
        <v>45</v>
      </c>
      <c r="AG46" s="440" t="s">
        <v>68</v>
      </c>
      <c r="AH46" s="441" t="s">
        <v>69</v>
      </c>
      <c r="AI46" s="237"/>
      <c r="AJ46" s="237"/>
    </row>
    <row r="47" spans="8:36" ht="13.5" thickTop="1" x14ac:dyDescent="0.2">
      <c r="P47" s="358"/>
      <c r="Q47" s="375" t="str">
        <f t="shared" si="4"/>
        <v>Ln47</v>
      </c>
      <c r="R47" s="503" t="str">
        <f>IF(C7+E7+C9+E9&gt;0,"INFO","OK")</f>
        <v>OK</v>
      </c>
      <c r="S47" s="504" t="s">
        <v>92</v>
      </c>
      <c r="T47" s="505"/>
      <c r="U47" s="357"/>
      <c r="V47" s="357"/>
      <c r="W47" s="357"/>
      <c r="X47" s="357"/>
      <c r="Y47" s="426" t="s">
        <v>55</v>
      </c>
      <c r="Z47" s="442">
        <f>Z40</f>
        <v>1800</v>
      </c>
      <c r="AA47" s="443">
        <f>Z36</f>
        <v>2250</v>
      </c>
      <c r="AB47" s="444">
        <f>+AA47-Z47</f>
        <v>450</v>
      </c>
      <c r="AC47" s="445">
        <f>AE40</f>
        <v>33</v>
      </c>
      <c r="AD47" s="446">
        <f>AE36</f>
        <v>33</v>
      </c>
      <c r="AE47" s="447">
        <f>AD47-AC47</f>
        <v>0</v>
      </c>
      <c r="AF47" s="448">
        <f>IF(OR(AB47=0,AE47=0),0,ROUND(AE47/AB47,5))</f>
        <v>0</v>
      </c>
      <c r="AG47" s="449">
        <f ca="1">IF(AND(AA44&gt;=Z47,AA44&lt;AA47),AC47+((AA44-Z47)*AF47),AC47)</f>
        <v>33</v>
      </c>
      <c r="AH47" s="450">
        <f>AD50</f>
        <v>46</v>
      </c>
      <c r="AI47" s="237"/>
      <c r="AJ47" s="237"/>
    </row>
    <row r="48" spans="8:36" x14ac:dyDescent="0.2">
      <c r="P48" s="358"/>
      <c r="Q48" s="375" t="str">
        <f t="shared" si="4"/>
        <v>Ln48</v>
      </c>
      <c r="R48" s="503" t="str">
        <f>IF(AND(C7&gt;0,D15=0),"WARN","OK")</f>
        <v>OK</v>
      </c>
      <c r="S48" s="506" t="s">
        <v>111</v>
      </c>
      <c r="T48" s="507"/>
      <c r="U48" s="357"/>
      <c r="V48" s="357"/>
      <c r="W48" s="357"/>
      <c r="X48" s="357"/>
      <c r="Y48" s="426" t="s">
        <v>56</v>
      </c>
      <c r="Z48" s="451">
        <f>AA47</f>
        <v>2250</v>
      </c>
      <c r="AA48" s="452">
        <f>Z34</f>
        <v>2700</v>
      </c>
      <c r="AB48" s="453">
        <f>+AA48-Z48</f>
        <v>450</v>
      </c>
      <c r="AC48" s="454">
        <f>IF(AD48=AD47,AC47,AD47)</f>
        <v>33</v>
      </c>
      <c r="AD48" s="455">
        <f>AE34</f>
        <v>35.700000000000003</v>
      </c>
      <c r="AE48" s="447">
        <f>AD48-AC48</f>
        <v>2.7000000000000028</v>
      </c>
      <c r="AF48" s="448">
        <f>IF(OR(AB48=0,AE48=0),0,ROUND(AE48/AB48,5))</f>
        <v>6.0000000000000001E-3</v>
      </c>
      <c r="AG48" s="449">
        <f ca="1">IF(AND(AA44&gt;=Z48,AA44&lt;AA48),AC48+((AA44-Z48)*AF48),AC48)</f>
        <v>33</v>
      </c>
      <c r="AH48" s="213">
        <f>AH47</f>
        <v>46</v>
      </c>
      <c r="AI48" s="237"/>
      <c r="AJ48" s="237"/>
    </row>
    <row r="49" spans="8:36" x14ac:dyDescent="0.2">
      <c r="P49" s="358"/>
      <c r="Q49" s="375" t="str">
        <f t="shared" si="4"/>
        <v>Ln49</v>
      </c>
      <c r="R49" s="503" t="str">
        <f>IF(AND(C7&gt;0,D16=0),"WARN","OK")</f>
        <v>OK</v>
      </c>
      <c r="S49" s="506" t="s">
        <v>113</v>
      </c>
      <c r="T49" s="507"/>
      <c r="U49" s="357"/>
      <c r="V49" s="357"/>
      <c r="W49" s="357"/>
      <c r="X49" s="357"/>
      <c r="Y49" s="426" t="s">
        <v>54</v>
      </c>
      <c r="Z49" s="451">
        <f>AA48</f>
        <v>2700</v>
      </c>
      <c r="AA49" s="452">
        <f>AA32</f>
        <v>2950</v>
      </c>
      <c r="AB49" s="453">
        <f>+AA49-Z49</f>
        <v>250</v>
      </c>
      <c r="AC49" s="454">
        <f>IF(AD49=AD48,AC48,AD48)</f>
        <v>35.700000000000003</v>
      </c>
      <c r="AD49" s="455">
        <f>AF32</f>
        <v>39.5</v>
      </c>
      <c r="AE49" s="447">
        <f>AD49-AC49</f>
        <v>3.7999999999999972</v>
      </c>
      <c r="AF49" s="448">
        <f>IF(OR(AB49=0,AE49=0),0,ROUND(AE49/AB49,5))</f>
        <v>1.52E-2</v>
      </c>
      <c r="AG49" s="449">
        <f ca="1">IF(AND(AA44&gt;=Z49,AA44&lt;AA49),AC49+((AA44-Z49)*AF49),AC49)</f>
        <v>35.700000000000003</v>
      </c>
      <c r="AH49" s="213">
        <f>AH48</f>
        <v>46</v>
      </c>
      <c r="AI49" s="237"/>
      <c r="AJ49" s="237"/>
    </row>
    <row r="50" spans="8:36" ht="13.5" thickBot="1" x14ac:dyDescent="0.25">
      <c r="P50" s="358"/>
      <c r="Q50" s="375" t="str">
        <f t="shared" si="4"/>
        <v>Ln50</v>
      </c>
      <c r="R50" s="503" t="str">
        <f>IF(AND(C7&gt;0,D17=0),"WARN","OK")</f>
        <v>OK</v>
      </c>
      <c r="S50" s="506" t="s">
        <v>112</v>
      </c>
      <c r="T50" s="507"/>
      <c r="U50" s="357"/>
      <c r="V50" s="357"/>
      <c r="W50" s="357"/>
      <c r="X50" s="357"/>
      <c r="Y50" s="458" t="s">
        <v>57</v>
      </c>
      <c r="Z50" s="459">
        <f>AA49</f>
        <v>2950</v>
      </c>
      <c r="AA50" s="460">
        <f>AC32</f>
        <v>2950</v>
      </c>
      <c r="AB50" s="461">
        <f>+AA50-Z50</f>
        <v>0</v>
      </c>
      <c r="AC50" s="462">
        <f>IF(AD50=AD49,AC49,AD49)</f>
        <v>39.5</v>
      </c>
      <c r="AD50" s="463">
        <f>AH32</f>
        <v>46</v>
      </c>
      <c r="AE50" s="464">
        <f>AD50-AC50</f>
        <v>6.5</v>
      </c>
      <c r="AF50" s="465">
        <f>IF(OR(AB50=0,AE50=0),0,ROUND(AE50/AB50,5))</f>
        <v>0</v>
      </c>
      <c r="AG50" s="466">
        <f ca="1">IF(AND(AA44&gt;=Z50,AA44&lt;AA50),AC50+((AA44-Z50)*AF50),AC50)</f>
        <v>39.5</v>
      </c>
      <c r="AH50" s="217">
        <f>AH49</f>
        <v>46</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358"/>
      <c r="Q51" s="375" t="str">
        <f t="shared" si="4"/>
        <v>Ln51</v>
      </c>
      <c r="R51" s="503" t="str">
        <f>IF(D18&gt;D15,"ERR","OK")</f>
        <v>OK</v>
      </c>
      <c r="S51" s="506" t="s">
        <v>94</v>
      </c>
      <c r="T51" s="507"/>
      <c r="U51" s="357"/>
      <c r="V51" s="357"/>
      <c r="W51" s="357"/>
      <c r="X51" s="357"/>
      <c r="Y51" s="357"/>
      <c r="Z51" s="357"/>
      <c r="AA51" s="357"/>
      <c r="AB51" s="357"/>
      <c r="AC51" s="357"/>
      <c r="AD51" s="357"/>
      <c r="AE51" s="357"/>
      <c r="AF51" s="357"/>
      <c r="AG51" s="357"/>
      <c r="AH51" s="357"/>
      <c r="AI51" s="237"/>
      <c r="AJ51" s="237"/>
    </row>
    <row r="52" spans="8:36" x14ac:dyDescent="0.2">
      <c r="I52" s="758"/>
      <c r="J52" s="762"/>
      <c r="K52" s="762"/>
      <c r="L52" s="762"/>
      <c r="M52" s="763"/>
      <c r="P52" s="358"/>
      <c r="Q52" s="375" t="str">
        <f t="shared" si="4"/>
        <v>Ln52</v>
      </c>
      <c r="R52" s="503" t="str">
        <f>IF(OR(D15=0,D16=0,D17=0),"WARN","OK")</f>
        <v>WARN</v>
      </c>
      <c r="S52" s="506" t="s">
        <v>110</v>
      </c>
      <c r="T52" s="507"/>
      <c r="U52" s="357"/>
      <c r="V52" s="357"/>
      <c r="W52" s="357"/>
      <c r="X52" s="357"/>
      <c r="Y52" s="357"/>
      <c r="Z52" s="357"/>
      <c r="AA52" s="357"/>
      <c r="AB52" s="357"/>
      <c r="AC52" s="357"/>
      <c r="AD52" s="357"/>
      <c r="AE52" s="357"/>
      <c r="AF52" s="357"/>
      <c r="AG52" s="357"/>
      <c r="AH52" s="357"/>
      <c r="AI52" s="237"/>
      <c r="AJ52" s="237"/>
    </row>
    <row r="53" spans="8:36" ht="13.5" thickBot="1" x14ac:dyDescent="0.25">
      <c r="I53" s="759"/>
      <c r="J53" s="764"/>
      <c r="K53" s="764"/>
      <c r="L53" s="764"/>
      <c r="M53" s="765"/>
      <c r="P53" s="358"/>
      <c r="Q53" s="375" t="str">
        <f t="shared" si="4"/>
        <v>Ln53</v>
      </c>
      <c r="R53" s="503" t="str">
        <f>IF(AND(D15&gt;0,D16&gt;0,D18&gt;0,T43&lt;1),"WARN","OK")</f>
        <v>OK</v>
      </c>
      <c r="S53" s="506" t="s">
        <v>90</v>
      </c>
      <c r="T53" s="507"/>
      <c r="U53" s="357"/>
      <c r="V53" s="357"/>
      <c r="W53" s="357"/>
      <c r="X53" s="357"/>
      <c r="Y53" s="357"/>
      <c r="Z53" s="357"/>
      <c r="AA53" s="357"/>
      <c r="AB53" s="357"/>
      <c r="AC53" s="357"/>
      <c r="AD53" s="357"/>
      <c r="AE53" s="357"/>
      <c r="AF53" s="357"/>
      <c r="AG53" s="357"/>
      <c r="AH53" s="357"/>
      <c r="AI53" s="237"/>
      <c r="AJ53" s="237"/>
    </row>
    <row r="54" spans="8:36" ht="13.5" thickTop="1" x14ac:dyDescent="0.2">
      <c r="I54" s="650" t="str">
        <f>IF(C4&lt;&gt;9999,"","Env "&amp;Z23&amp;"  "&amp;AA23&amp;"  "&amp;AA24&amp;"  "&amp;AA25&amp;"  "&amp;AA26&amp;"     "&amp;AC23&amp;"  "&amp;AD23&amp;"  "&amp;AD24&amp;"  "&amp;AD25&amp;"  "&amp;AD26)</f>
        <v/>
      </c>
      <c r="P54" s="358"/>
      <c r="Q54" s="357"/>
      <c r="R54" s="357"/>
      <c r="S54" s="357"/>
      <c r="T54" s="357"/>
      <c r="U54" s="357"/>
      <c r="V54" s="357"/>
      <c r="W54" s="357"/>
      <c r="X54" s="357"/>
      <c r="Y54" s="357"/>
      <c r="Z54" s="357"/>
      <c r="AA54" s="357"/>
      <c r="AB54" s="357"/>
      <c r="AC54" s="357"/>
      <c r="AD54" s="357"/>
      <c r="AE54" s="357"/>
      <c r="AF54" s="357"/>
      <c r="AG54" s="357"/>
      <c r="AH54" s="357"/>
      <c r="AI54" s="237"/>
      <c r="AJ54" s="237"/>
    </row>
    <row r="55" spans="8:36" x14ac:dyDescent="0.2">
      <c r="I55" s="651" t="str">
        <f>IF(C4&lt;&gt;9999,"","Fuel  T "&amp;T19&amp;"   F "&amp;T18&amp;"      Load   0 "&amp;U37&amp;"  T "&amp;U38&amp;"  F "&amp;U39)</f>
        <v/>
      </c>
      <c r="P55" s="358"/>
      <c r="Q55" s="357"/>
      <c r="R55" s="357"/>
      <c r="S55" s="357"/>
      <c r="T55" s="357"/>
      <c r="U55" s="357"/>
      <c r="V55" s="357"/>
      <c r="W55" s="357"/>
      <c r="X55" s="357"/>
      <c r="Y55" s="357"/>
      <c r="Z55" s="357"/>
      <c r="AA55" s="357"/>
      <c r="AB55" s="357"/>
      <c r="AC55" s="357"/>
      <c r="AD55" s="357"/>
      <c r="AE55" s="357"/>
      <c r="AF55" s="357"/>
      <c r="AG55" s="357"/>
      <c r="AH55" s="357"/>
      <c r="AI55" s="237"/>
      <c r="AJ55" s="237"/>
    </row>
    <row r="56" spans="8:36" x14ac:dyDescent="0.2">
      <c r="P56" s="358"/>
      <c r="Q56" s="357"/>
      <c r="R56" s="357"/>
      <c r="S56" s="357"/>
      <c r="T56" s="357"/>
      <c r="U56" s="357"/>
      <c r="V56" s="357"/>
      <c r="W56" s="357"/>
      <c r="X56" s="357"/>
      <c r="Y56" s="357"/>
      <c r="Z56" s="357"/>
      <c r="AA56" s="357"/>
      <c r="AB56" s="357"/>
      <c r="AC56" s="357"/>
      <c r="AD56" s="357"/>
      <c r="AE56" s="357"/>
      <c r="AF56" s="357"/>
      <c r="AG56" s="357"/>
      <c r="AH56" s="357"/>
      <c r="AI56" s="237"/>
      <c r="AJ56" s="237"/>
    </row>
  </sheetData>
  <sheetProtection password="E398" sheet="1" objects="1" scenarios="1" selectLockedCells="1"/>
  <mergeCells count="45">
    <mergeCell ref="I51:I53"/>
    <mergeCell ref="J51:M53"/>
    <mergeCell ref="C23:F23"/>
    <mergeCell ref="C24:F24"/>
    <mergeCell ref="D30:E30"/>
    <mergeCell ref="F30:H30"/>
    <mergeCell ref="AF41:AG41"/>
    <mergeCell ref="AH13:AH15"/>
    <mergeCell ref="AF17:AG17"/>
    <mergeCell ref="AC37:AC39"/>
    <mergeCell ref="AA35:AB35"/>
    <mergeCell ref="B21:B22"/>
    <mergeCell ref="C21:F22"/>
    <mergeCell ref="D17:E17"/>
    <mergeCell ref="D18:E18"/>
    <mergeCell ref="AF35:AG35"/>
    <mergeCell ref="D13:E13"/>
    <mergeCell ref="AC13:AC15"/>
    <mergeCell ref="AH37:AH39"/>
    <mergeCell ref="C25:F25"/>
    <mergeCell ref="D28:E28"/>
    <mergeCell ref="F28:H28"/>
    <mergeCell ref="D29:E29"/>
    <mergeCell ref="D15:E15"/>
    <mergeCell ref="D16:E16"/>
    <mergeCell ref="AA36:AB36"/>
    <mergeCell ref="AF36:AG36"/>
    <mergeCell ref="C11:F11"/>
    <mergeCell ref="AA11:AB11"/>
    <mergeCell ref="AF11:AG11"/>
    <mergeCell ref="C12:F12"/>
    <mergeCell ref="AA12:AB12"/>
    <mergeCell ref="AF12:AG12"/>
    <mergeCell ref="B7:B8"/>
    <mergeCell ref="C7:D8"/>
    <mergeCell ref="E7:F8"/>
    <mergeCell ref="B9:B10"/>
    <mergeCell ref="C9:D10"/>
    <mergeCell ref="E9:F10"/>
    <mergeCell ref="C4:D4"/>
    <mergeCell ref="B1:H1"/>
    <mergeCell ref="C2:E2"/>
    <mergeCell ref="J2:K2"/>
    <mergeCell ref="D3:F3"/>
    <mergeCell ref="J3:K3"/>
  </mergeCells>
  <conditionalFormatting sqref="T37:T38">
    <cfRule type="expression" dxfId="575" priority="34" stopIfTrue="1">
      <formula>S37=""</formula>
    </cfRule>
  </conditionalFormatting>
  <conditionalFormatting sqref="I26 I28">
    <cfRule type="expression" dxfId="574" priority="35" stopIfTrue="1">
      <formula>E7=""</formula>
    </cfRule>
  </conditionalFormatting>
  <conditionalFormatting sqref="I27 I29:I30">
    <cfRule type="expression" dxfId="573" priority="36" stopIfTrue="1">
      <formula>C9=""</formula>
    </cfRule>
  </conditionalFormatting>
  <conditionalFormatting sqref="U37:U39 V19">
    <cfRule type="expression" dxfId="572" priority="38" stopIfTrue="1">
      <formula>S19=""</formula>
    </cfRule>
  </conditionalFormatting>
  <conditionalFormatting sqref="C25">
    <cfRule type="expression" dxfId="571" priority="39" stopIfTrue="1">
      <formula>AND(C7="",E7+C9+E9&gt;0)</formula>
    </cfRule>
  </conditionalFormatting>
  <conditionalFormatting sqref="B30">
    <cfRule type="expression" dxfId="570" priority="40" stopIfTrue="1">
      <formula>D29&gt;D28</formula>
    </cfRule>
  </conditionalFormatting>
  <conditionalFormatting sqref="D30:E30">
    <cfRule type="expression" dxfId="569" priority="41" stopIfTrue="1">
      <formula>D29&gt;D28</formula>
    </cfRule>
  </conditionalFormatting>
  <conditionalFormatting sqref="F30:H30">
    <cfRule type="expression" dxfId="568" priority="42" stopIfTrue="1">
      <formula>D29&gt;D28</formula>
    </cfRule>
  </conditionalFormatting>
  <conditionalFormatting sqref="B23 B25">
    <cfRule type="cellIs" dxfId="567" priority="43" stopIfTrue="1" operator="notEqual">
      <formula>""</formula>
    </cfRule>
  </conditionalFormatting>
  <conditionalFormatting sqref="B24">
    <cfRule type="cellIs" dxfId="566" priority="45" stopIfTrue="1" operator="notEqual">
      <formula>""</formula>
    </cfRule>
  </conditionalFormatting>
  <conditionalFormatting sqref="R46:R53 R8 R10 R29:R30 R33">
    <cfRule type="cellIs" dxfId="565" priority="46" stopIfTrue="1" operator="notEqual">
      <formula>""</formula>
    </cfRule>
  </conditionalFormatting>
  <conditionalFormatting sqref="S37:S39">
    <cfRule type="expression" dxfId="564" priority="47" stopIfTrue="1">
      <formula>S37=""</formula>
    </cfRule>
  </conditionalFormatting>
  <conditionalFormatting sqref="R18">
    <cfRule type="cellIs" dxfId="563" priority="48" stopIfTrue="1" operator="notEqual">
      <formula>""</formula>
    </cfRule>
  </conditionalFormatting>
  <conditionalFormatting sqref="J5">
    <cfRule type="expression" dxfId="562" priority="49" stopIfTrue="1">
      <formula>expired=TRUE</formula>
    </cfRule>
  </conditionalFormatting>
  <conditionalFormatting sqref="B1:H1">
    <cfRule type="expression" dxfId="561" priority="50" stopIfTrue="1">
      <formula>expired=TRUE</formula>
    </cfRule>
    <cfRule type="expression" dxfId="560" priority="51" stopIfTrue="1">
      <formula>old_ver=TRUE</formula>
    </cfRule>
  </conditionalFormatting>
  <conditionalFormatting sqref="I3">
    <cfRule type="expression" dxfId="559" priority="52" stopIfTrue="1">
      <formula>D3=""</formula>
    </cfRule>
  </conditionalFormatting>
  <conditionalFormatting sqref="J2">
    <cfRule type="expression" dxfId="558" priority="53" stopIfTrue="1">
      <formula>D3=""</formula>
    </cfRule>
  </conditionalFormatting>
  <conditionalFormatting sqref="L2">
    <cfRule type="expression" dxfId="557" priority="54" stopIfTrue="1">
      <formula>D3=""</formula>
    </cfRule>
  </conditionalFormatting>
  <conditionalFormatting sqref="L3">
    <cfRule type="expression" dxfId="556" priority="55" stopIfTrue="1">
      <formula>D3=""</formula>
    </cfRule>
  </conditionalFormatting>
  <conditionalFormatting sqref="J3:K3">
    <cfRule type="expression" dxfId="555" priority="56" stopIfTrue="1">
      <formula>D3=""</formula>
    </cfRule>
  </conditionalFormatting>
  <conditionalFormatting sqref="I2">
    <cfRule type="expression" dxfId="554" priority="57" stopIfTrue="1">
      <formula>AND(D3="",C2="")</formula>
    </cfRule>
  </conditionalFormatting>
  <conditionalFormatting sqref="V21">
    <cfRule type="expression" dxfId="553" priority="32" stopIfTrue="1">
      <formula>T21=""</formula>
    </cfRule>
  </conditionalFormatting>
  <conditionalFormatting sqref="E21:E22">
    <cfRule type="expression" dxfId="552" priority="58" stopIfTrue="1">
      <formula>OR(AC19="out",AF19="out")</formula>
    </cfRule>
  </conditionalFormatting>
  <conditionalFormatting sqref="M17">
    <cfRule type="expression" dxfId="551" priority="59" stopIfTrue="1">
      <formula>AE19="out"</formula>
    </cfRule>
  </conditionalFormatting>
  <conditionalFormatting sqref="K17">
    <cfRule type="expression" dxfId="550" priority="60" stopIfTrue="1">
      <formula>AE19&lt;&gt;"OK"</formula>
    </cfRule>
  </conditionalFormatting>
  <conditionalFormatting sqref="F21:F22">
    <cfRule type="expression" dxfId="549" priority="61" stopIfTrue="1">
      <formula>OR(AE19="out",AG19="out")</formula>
    </cfRule>
  </conditionalFormatting>
  <conditionalFormatting sqref="C21:C22">
    <cfRule type="expression" dxfId="548" priority="62" stopIfTrue="1">
      <formula>OR(AA19="out",AE19="out")</formula>
    </cfRule>
  </conditionalFormatting>
  <conditionalFormatting sqref="D21:D22">
    <cfRule type="expression" dxfId="547" priority="63" stopIfTrue="1">
      <formula>OR(AB19="out",#REF!="out")</formula>
    </cfRule>
  </conditionalFormatting>
  <conditionalFormatting sqref="K20">
    <cfRule type="expression" dxfId="546" priority="64" stopIfTrue="1">
      <formula>AE43&lt;&gt;"OK"</formula>
    </cfRule>
  </conditionalFormatting>
  <conditionalFormatting sqref="J16">
    <cfRule type="expression" dxfId="545" priority="65" stopIfTrue="1">
      <formula>R8&lt;&gt;"OK"</formula>
    </cfRule>
  </conditionalFormatting>
  <conditionalFormatting sqref="J19">
    <cfRule type="expression" dxfId="544" priority="66" stopIfTrue="1">
      <formula>R10&lt;&gt;"OK"</formula>
    </cfRule>
  </conditionalFormatting>
  <conditionalFormatting sqref="B21">
    <cfRule type="expression" dxfId="543" priority="67" stopIfTrue="1">
      <formula>R10&lt;&gt;"OK"</formula>
    </cfRule>
    <cfRule type="expression" dxfId="542" priority="68" stopIfTrue="1">
      <formula>R11&lt;&gt;"OK"</formula>
    </cfRule>
  </conditionalFormatting>
  <conditionalFormatting sqref="V27">
    <cfRule type="expression" dxfId="541" priority="30" stopIfTrue="1">
      <formula>T27=""</formula>
    </cfRule>
  </conditionalFormatting>
  <conditionalFormatting sqref="V26">
    <cfRule type="expression" dxfId="540" priority="31" stopIfTrue="1">
      <formula>S26=""</formula>
    </cfRule>
  </conditionalFormatting>
  <conditionalFormatting sqref="D15:E15">
    <cfRule type="expression" dxfId="539" priority="69" stopIfTrue="1">
      <formula>R18="err"</formula>
    </cfRule>
  </conditionalFormatting>
  <conditionalFormatting sqref="F23">
    <cfRule type="expression" dxfId="538" priority="70" stopIfTrue="1">
      <formula>#REF!&lt;&gt;"OK"</formula>
    </cfRule>
  </conditionalFormatting>
  <conditionalFormatting sqref="M16">
    <cfRule type="expression" dxfId="537" priority="71" stopIfTrue="1">
      <formula>J16&gt;U8</formula>
    </cfRule>
  </conditionalFormatting>
  <conditionalFormatting sqref="V18">
    <cfRule type="expression" dxfId="536" priority="72" stopIfTrue="1">
      <formula>S18=""</formula>
    </cfRule>
  </conditionalFormatting>
  <conditionalFormatting sqref="R31">
    <cfRule type="cellIs" dxfId="535" priority="26" stopIfTrue="1" operator="notEqual">
      <formula>""</formula>
    </cfRule>
  </conditionalFormatting>
  <conditionalFormatting sqref="R34">
    <cfRule type="cellIs" dxfId="534" priority="25" stopIfTrue="1" operator="notEqual">
      <formula>""</formula>
    </cfRule>
  </conditionalFormatting>
  <conditionalFormatting sqref="R32">
    <cfRule type="cellIs" dxfId="533" priority="24" stopIfTrue="1" operator="notEqual">
      <formula>""</formula>
    </cfRule>
  </conditionalFormatting>
  <conditionalFormatting sqref="B22">
    <cfRule type="expression" dxfId="532" priority="1193" stopIfTrue="1">
      <formula>R11&lt;&gt;"OK"</formula>
    </cfRule>
    <cfRule type="expression" dxfId="531" priority="1194" stopIfTrue="1">
      <formula>R29&lt;&gt;"OK"</formula>
    </cfRule>
  </conditionalFormatting>
  <conditionalFormatting sqref="C12">
    <cfRule type="expression" dxfId="530" priority="1195" stopIfTrue="1">
      <formula>R30="ERR"</formula>
    </cfRule>
  </conditionalFormatting>
  <conditionalFormatting sqref="C11">
    <cfRule type="expression" dxfId="529" priority="1196" stopIfTrue="1">
      <formula>R29="ERR"</formula>
    </cfRule>
  </conditionalFormatting>
  <conditionalFormatting sqref="C23:E23">
    <cfRule type="expression" dxfId="528" priority="1197" stopIfTrue="1">
      <formula>R53&lt;&gt;"OK"</formula>
    </cfRule>
  </conditionalFormatting>
  <conditionalFormatting sqref="C7:D8">
    <cfRule type="expression" dxfId="527" priority="1198" stopIfTrue="1">
      <formula>R46&lt;&gt;"OK"</formula>
    </cfRule>
  </conditionalFormatting>
  <conditionalFormatting sqref="D18:E18">
    <cfRule type="expression" dxfId="526" priority="1199" stopIfTrue="1">
      <formula>R51&lt;&gt;"OK"</formula>
    </cfRule>
  </conditionalFormatting>
  <conditionalFormatting sqref="B18 B20">
    <cfRule type="expression" dxfId="525" priority="1200" stopIfTrue="1">
      <formula>R51&lt;&gt;"OK"</formula>
    </cfRule>
  </conditionalFormatting>
  <conditionalFormatting sqref="D19">
    <cfRule type="expression" dxfId="524" priority="1202" stopIfTrue="1">
      <formula>R53&lt;&gt;"ok"</formula>
    </cfRule>
  </conditionalFormatting>
  <conditionalFormatting sqref="D13:E13">
    <cfRule type="expression" dxfId="523" priority="1203">
      <formula>AND(R34="ERR",D13&lt;&gt;0)</formula>
    </cfRule>
    <cfRule type="expression" dxfId="522" priority="1204" stopIfTrue="1">
      <formula>R31="ERR"</formula>
    </cfRule>
  </conditionalFormatting>
  <conditionalFormatting sqref="C12:F12">
    <cfRule type="expression" dxfId="521" priority="1205" stopIfTrue="1">
      <formula>AND(C12&lt;&gt;0,R33="ERR")</formula>
    </cfRule>
    <cfRule type="expression" dxfId="520" priority="1206" stopIfTrue="1">
      <formula>AND(R34="ERR",C12&lt;&gt;0)</formula>
    </cfRule>
  </conditionalFormatting>
  <conditionalFormatting sqref="C11:F11">
    <cfRule type="expression" dxfId="519" priority="1207" stopIfTrue="1">
      <formula>R33="ERR"</formula>
    </cfRule>
    <cfRule type="expression" dxfId="518" priority="1208" stopIfTrue="1">
      <formula>R32="ERR"</formula>
    </cfRule>
  </conditionalFormatting>
  <conditionalFormatting sqref="S21">
    <cfRule type="expression" dxfId="517" priority="12" stopIfTrue="1">
      <formula>T21=""</formula>
    </cfRule>
  </conditionalFormatting>
  <conditionalFormatting sqref="S22:S23">
    <cfRule type="expression" dxfId="516" priority="11" stopIfTrue="1">
      <formula>S22=""</formula>
    </cfRule>
  </conditionalFormatting>
  <conditionalFormatting sqref="S20">
    <cfRule type="expression" dxfId="515" priority="9">
      <formula>AND(OR(T20="",LEFT(T20,1)="F"),T18&lt;&gt;T19)</formula>
    </cfRule>
    <cfRule type="expression" dxfId="514" priority="10">
      <formula>AND(LEFT(T20,1)&lt;&gt;"F",T18=T19)</formula>
    </cfRule>
  </conditionalFormatting>
  <conditionalFormatting sqref="R20">
    <cfRule type="cellIs" dxfId="513" priority="8" stopIfTrue="1" operator="notEqual">
      <formula>""</formula>
    </cfRule>
  </conditionalFormatting>
  <conditionalFormatting sqref="V20">
    <cfRule type="expression" dxfId="512" priority="7" stopIfTrue="1">
      <formula>T20=""</formula>
    </cfRule>
  </conditionalFormatting>
  <conditionalFormatting sqref="S12:S15">
    <cfRule type="expression" dxfId="511" priority="5" stopIfTrue="1">
      <formula>S12=""</formula>
    </cfRule>
  </conditionalFormatting>
  <conditionalFormatting sqref="R11">
    <cfRule type="cellIs" dxfId="510" priority="4" stopIfTrue="1" operator="notEqual">
      <formula>""</formula>
    </cfRule>
  </conditionalFormatting>
  <conditionalFormatting sqref="S19">
    <cfRule type="expression" dxfId="509" priority="2" stopIfTrue="1">
      <formula>#REF!=""</formula>
    </cfRule>
  </conditionalFormatting>
  <conditionalFormatting sqref="C24:F24">
    <cfRule type="cellIs" dxfId="508" priority="1" stopIfTrue="1" operator="notEqual">
      <formula>""</formula>
    </cfRule>
  </conditionalFormatting>
  <dataValidations count="3">
    <dataValidation type="custom" allowBlank="1" showInputMessage="1" showErrorMessage="1" errorTitle="Input Error" error="Entry must be a NUMERIC VALUE!" sqref="D15:E17 C7:F12" xr:uid="{00000000-0002-0000-0900-000000000000}">
      <formula1>ISNUMBER(C7)</formula1>
    </dataValidation>
    <dataValidation type="date" allowBlank="1" showInputMessage="1" showErrorMessage="1" errorTitle="Input Error" error="A valid date must be entered into this cell.  Enter as  mm/dd/yy  _x000a__x000a_" sqref="C2:E2" xr:uid="{00000000-0002-0000-0900-000001000000}">
      <formula1>36526</formula1>
      <formula2>44196</formula2>
    </dataValidation>
    <dataValidation type="list" showInputMessage="1" showErrorMessage="1" errorTitle="STANDARD FUELING LEVEL" error="STANDARD FUELING LEVEL MUST BE ENTERED:_x000a_TABS,_x000a_Measured,_x000a_FULL" sqref="T20" xr:uid="{00000000-0002-0000-0900-000002000000}">
      <formula1>"TABS,Measured,FULL"</formula1>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0000FF"/>
    <pageSetUpPr fitToPage="1"/>
  </sheetPr>
  <dimension ref="B1:AJ56"/>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4" width="4.7109375" hidden="1" customWidth="1"/>
    <col min="15" max="15" width="4.28515625" hidden="1" customWidth="1"/>
    <col min="16" max="16" width="11.7109375" style="41" hidden="1" customWidth="1"/>
    <col min="17" max="17" width="9.7109375" style="41" hidden="1" customWidth="1"/>
    <col min="18" max="18" width="8.42578125" style="41" hidden="1" customWidth="1"/>
    <col min="19" max="19" width="19" style="41" hidden="1" customWidth="1"/>
    <col min="20" max="22" width="7.7109375" style="41" hidden="1" customWidth="1"/>
    <col min="23" max="23" width="29.42578125" style="41" hidden="1" customWidth="1"/>
    <col min="24" max="24" width="4.7109375" style="41" hidden="1" customWidth="1"/>
    <col min="25" max="25" width="3.5703125" style="41" hidden="1" customWidth="1"/>
    <col min="26" max="33" width="9.140625" style="41" hidden="1" customWidth="1"/>
    <col min="34" max="34" width="9.5703125" style="41" hidden="1" customWidth="1"/>
    <col min="35" max="36" width="9" hidden="1" customWidth="1"/>
    <col min="37" max="37" width="8.140625" customWidth="1"/>
  </cols>
  <sheetData>
    <row r="1" spans="2:36" ht="22.9" customHeight="1" thickBot="1" x14ac:dyDescent="0.25">
      <c r="B1" s="807" t="str">
        <f ca="1">status_msg</f>
        <v/>
      </c>
      <c r="C1" s="807"/>
      <c r="D1" s="807"/>
      <c r="E1" s="807"/>
      <c r="F1" s="807"/>
      <c r="G1" s="807"/>
      <c r="H1" s="807"/>
      <c r="I1" s="514" t="str">
        <f>Q1</f>
        <v>CAP 930</v>
      </c>
      <c r="J1" s="514" t="str">
        <f>R1</f>
        <v>N402CV</v>
      </c>
      <c r="K1" s="515"/>
      <c r="L1" s="516" t="str">
        <f>S1</f>
        <v>(230hp C182T) Long Range Tanks</v>
      </c>
      <c r="M1" s="517"/>
      <c r="P1" s="354" t="s">
        <v>178</v>
      </c>
      <c r="Q1" s="355" t="s">
        <v>290</v>
      </c>
      <c r="R1" s="355" t="s">
        <v>291</v>
      </c>
      <c r="S1" s="356" t="s">
        <v>181</v>
      </c>
      <c r="T1" s="356"/>
      <c r="U1" s="357"/>
      <c r="V1" s="357"/>
      <c r="W1" s="357"/>
      <c r="X1" s="357"/>
      <c r="Y1" s="357"/>
      <c r="Z1" s="357"/>
      <c r="AA1" s="357"/>
      <c r="AB1" s="357"/>
      <c r="AC1" s="357"/>
      <c r="AD1" s="357"/>
      <c r="AE1" s="357"/>
      <c r="AF1" s="357"/>
      <c r="AG1" s="357"/>
      <c r="AH1" s="357"/>
      <c r="AI1" s="237"/>
      <c r="AJ1" s="237"/>
    </row>
    <row r="2" spans="2:36" ht="15" customHeight="1" thickTop="1" thickBot="1" x14ac:dyDescent="0.25">
      <c r="B2" s="137" t="s">
        <v>131</v>
      </c>
      <c r="C2" s="808"/>
      <c r="D2" s="808"/>
      <c r="E2" s="809"/>
      <c r="F2" s="142" t="str">
        <f>IF(D3="","mm/dd/yy","(if not today)")</f>
        <v>mm/dd/yy</v>
      </c>
      <c r="H2" s="351"/>
      <c r="I2" s="138" t="s">
        <v>131</v>
      </c>
      <c r="J2" s="810" t="str">
        <f>IF(C3="","","Mission Symbol")&amp;"   Mission No:"</f>
        <v xml:space="preserve">   Mission No:</v>
      </c>
      <c r="K2" s="810"/>
      <c r="L2" s="353" t="s">
        <v>130</v>
      </c>
      <c r="P2" s="358"/>
      <c r="Q2" s="359" t="s">
        <v>173</v>
      </c>
      <c r="R2" s="359" t="s">
        <v>145</v>
      </c>
      <c r="S2" s="360" t="s">
        <v>172</v>
      </c>
      <c r="T2" s="361"/>
      <c r="U2" s="357"/>
      <c r="V2" s="357"/>
      <c r="W2" s="357"/>
      <c r="X2" s="357"/>
      <c r="Y2" s="357"/>
      <c r="Z2" s="357"/>
      <c r="AA2" s="357"/>
      <c r="AB2" s="357"/>
      <c r="AC2" s="357"/>
      <c r="AD2" s="357"/>
      <c r="AE2" s="357"/>
      <c r="AF2" s="357"/>
      <c r="AG2" s="357"/>
      <c r="AH2" s="357"/>
      <c r="AI2" s="237"/>
      <c r="AJ2" s="237"/>
    </row>
    <row r="3" spans="2:36" ht="15" customHeight="1" thickTop="1" thickBot="1" x14ac:dyDescent="0.25">
      <c r="B3" s="140" t="s">
        <v>137</v>
      </c>
      <c r="C3" s="352"/>
      <c r="D3" s="811"/>
      <c r="E3" s="811"/>
      <c r="F3" s="812"/>
      <c r="I3" s="131" t="str">
        <f ca="1">IF(AND(D3="",C2=""),"",IF(C2="",TODAY(),C2))</f>
        <v/>
      </c>
      <c r="J3" s="813" t="str">
        <f>IF(C3="","",IF(D3="","",C3))&amp;"      "&amp;IF(D3="","",D3)</f>
        <v xml:space="preserve">      </v>
      </c>
      <c r="K3" s="814"/>
      <c r="L3" s="132" t="str">
        <f>IF(C4="","",C4)</f>
        <v/>
      </c>
      <c r="P3" s="362"/>
      <c r="Q3" s="363"/>
      <c r="R3" s="363"/>
      <c r="S3" s="357"/>
      <c r="T3" s="357"/>
      <c r="U3" s="357"/>
      <c r="V3" s="357"/>
      <c r="W3" s="357"/>
      <c r="X3" s="357"/>
      <c r="Y3" s="357"/>
      <c r="Z3" s="364"/>
      <c r="AA3" s="357"/>
      <c r="AB3" s="365"/>
      <c r="AC3" s="357"/>
      <c r="AD3" s="357"/>
      <c r="AE3" s="357"/>
      <c r="AF3" s="357"/>
      <c r="AG3" s="357"/>
      <c r="AH3" s="357"/>
      <c r="AI3" s="237"/>
      <c r="AJ3" s="237"/>
    </row>
    <row r="4" spans="2:36" ht="12" customHeight="1" thickTop="1" x14ac:dyDescent="0.2">
      <c r="B4" s="140" t="s">
        <v>130</v>
      </c>
      <c r="C4" s="822"/>
      <c r="D4" s="823"/>
      <c r="E4" s="140"/>
      <c r="I4" s="687" t="s">
        <v>284</v>
      </c>
      <c r="J4" s="689"/>
      <c r="K4" s="688"/>
      <c r="L4" s="688"/>
      <c r="M4" s="688"/>
      <c r="P4" s="553" t="s">
        <v>222</v>
      </c>
      <c r="Q4" s="366"/>
      <c r="R4" s="366"/>
      <c r="S4" s="357"/>
      <c r="T4" s="367" t="s">
        <v>98</v>
      </c>
      <c r="U4" s="368"/>
      <c r="V4" s="369" t="s">
        <v>99</v>
      </c>
      <c r="W4" s="357"/>
      <c r="X4" s="357"/>
      <c r="Y4" s="357"/>
      <c r="Z4" s="357"/>
      <c r="AA4" s="357"/>
      <c r="AB4" s="357"/>
      <c r="AC4" s="357"/>
      <c r="AD4" s="357"/>
      <c r="AE4" s="357"/>
      <c r="AF4" s="357"/>
      <c r="AG4" s="357"/>
      <c r="AH4" s="357"/>
      <c r="AI4" s="237"/>
      <c r="AJ4" s="237"/>
    </row>
    <row r="5" spans="2:36" ht="12" customHeight="1" x14ac:dyDescent="0.2">
      <c r="I5" s="35"/>
      <c r="J5" s="36"/>
      <c r="K5" s="36"/>
      <c r="L5" s="36"/>
      <c r="M5" s="134" t="str">
        <f>"Release ID:   "&amp;release_nbr&amp;"    "&amp;TEXT(release_date,"dd mmm yyyy  ")</f>
        <v xml:space="preserve">Release ID:   R1    21 Mar 2020  </v>
      </c>
      <c r="P5" s="362"/>
      <c r="Q5" s="357"/>
      <c r="R5" s="357"/>
      <c r="S5" s="357"/>
      <c r="T5" s="357"/>
      <c r="U5" s="357"/>
      <c r="V5" s="357"/>
      <c r="W5" s="357"/>
      <c r="X5" s="357"/>
      <c r="Y5" s="357"/>
      <c r="Z5" s="357"/>
      <c r="AA5" s="357"/>
      <c r="AB5" s="357"/>
      <c r="AC5" s="357"/>
      <c r="AD5" s="357"/>
      <c r="AE5" s="357"/>
      <c r="AF5" s="357"/>
      <c r="AG5" s="357"/>
      <c r="AH5" s="357"/>
      <c r="AI5" s="237"/>
      <c r="AJ5" s="237"/>
    </row>
    <row r="6" spans="2:36" ht="12.75" customHeight="1" thickBot="1" x14ac:dyDescent="0.35">
      <c r="B6" s="3" t="s">
        <v>31</v>
      </c>
      <c r="I6" s="37" t="s">
        <v>0</v>
      </c>
      <c r="J6" s="38" t="s">
        <v>1</v>
      </c>
      <c r="K6" s="38" t="s">
        <v>2</v>
      </c>
      <c r="L6" s="39" t="s">
        <v>97</v>
      </c>
      <c r="M6" s="133" t="s">
        <v>3</v>
      </c>
      <c r="P6" s="362"/>
      <c r="Q6" s="370" t="s">
        <v>120</v>
      </c>
      <c r="R6" s="371"/>
      <c r="S6" s="371"/>
      <c r="T6" s="371"/>
      <c r="U6" s="372" t="s">
        <v>1</v>
      </c>
      <c r="V6" s="372" t="s">
        <v>2</v>
      </c>
      <c r="W6" s="373" t="s">
        <v>179</v>
      </c>
      <c r="X6" s="357"/>
      <c r="Y6" s="357"/>
      <c r="Z6" s="357"/>
      <c r="AA6" s="357"/>
      <c r="AB6" s="374" t="s">
        <v>163</v>
      </c>
      <c r="AC6" s="371"/>
      <c r="AD6" s="371"/>
      <c r="AE6" s="371"/>
      <c r="AF6" s="371"/>
      <c r="AG6" s="371"/>
      <c r="AH6" s="357"/>
      <c r="AI6" s="237"/>
      <c r="AJ6" s="237"/>
    </row>
    <row r="7" spans="2:36" ht="15" customHeight="1" thickTop="1" thickBot="1" x14ac:dyDescent="0.25">
      <c r="B7" s="803" t="s">
        <v>32</v>
      </c>
      <c r="C7" s="802"/>
      <c r="D7" s="804"/>
      <c r="E7" s="802"/>
      <c r="F7" s="800"/>
      <c r="H7" s="1"/>
      <c r="I7" s="13" t="s">
        <v>4</v>
      </c>
      <c r="J7" s="188">
        <f>U7</f>
        <v>2039.06</v>
      </c>
      <c r="K7" s="67">
        <f>V7</f>
        <v>39.72</v>
      </c>
      <c r="L7" s="68">
        <f>ROUND(J7*K7/1000,5)</f>
        <v>80.991460000000004</v>
      </c>
      <c r="M7" s="586" t="str">
        <f>IF(W7="","",W7)</f>
        <v>W/B: 19-SEP-2016 Cessna Factory</v>
      </c>
      <c r="P7" s="362"/>
      <c r="Q7" s="375" t="str">
        <f>"Ln"&amp;ROW()</f>
        <v>Ln7</v>
      </c>
      <c r="R7" s="376"/>
      <c r="S7" s="377" t="s">
        <v>4</v>
      </c>
      <c r="T7" s="378"/>
      <c r="U7" s="379">
        <v>2039.06</v>
      </c>
      <c r="V7" s="380">
        <v>39.72</v>
      </c>
      <c r="W7" s="381" t="s">
        <v>302</v>
      </c>
      <c r="X7" s="357"/>
      <c r="Y7" s="357"/>
      <c r="Z7" s="357"/>
      <c r="AA7" s="357"/>
      <c r="AB7" s="357"/>
      <c r="AC7" s="382"/>
      <c r="AD7" s="383" t="s">
        <v>162</v>
      </c>
      <c r="AE7" s="357"/>
      <c r="AF7" s="357"/>
      <c r="AG7" s="357"/>
      <c r="AH7" s="357"/>
      <c r="AI7" s="237"/>
      <c r="AJ7" s="237"/>
    </row>
    <row r="8" spans="2:36" ht="15" customHeight="1" thickTop="1" thickBot="1" x14ac:dyDescent="0.25">
      <c r="B8" s="803"/>
      <c r="C8" s="802"/>
      <c r="D8" s="804"/>
      <c r="E8" s="802"/>
      <c r="F8" s="800"/>
      <c r="H8" s="1"/>
      <c r="I8" s="125" t="s">
        <v>10</v>
      </c>
      <c r="J8" s="189">
        <f>D15*6</f>
        <v>384</v>
      </c>
      <c r="K8" s="69">
        <f>U18</f>
        <v>46.5</v>
      </c>
      <c r="L8" s="72">
        <f t="shared" ref="L8:L13" si="0">ROUND((J8*K8)/1000,5)</f>
        <v>17.856000000000002</v>
      </c>
      <c r="M8" s="11" t="str">
        <f>V18&amp;" lbs Max ("&amp;T18&amp;" gals)  "&amp;IF(OR(T18=T19,T19="",T19=0),"",V19&amp;" lbs Tabs ("&amp;T19&amp;" gals)")</f>
        <v>522 lbs Max (87 gals)  384 lbs Tabs (64 gals)</v>
      </c>
      <c r="P8" s="362"/>
      <c r="Q8" s="375" t="str">
        <f t="shared" ref="Q8:Q34" si="1">"Ln"&amp;ROW()</f>
        <v>Ln8</v>
      </c>
      <c r="R8" s="384" t="str">
        <f ca="1">IF(J16&gt;U8,"ERR","OK")</f>
        <v>OK</v>
      </c>
      <c r="S8" s="377" t="s">
        <v>168</v>
      </c>
      <c r="T8" s="378"/>
      <c r="U8" s="385">
        <v>3100</v>
      </c>
      <c r="V8" s="357"/>
      <c r="W8" s="357"/>
      <c r="X8" s="357"/>
      <c r="Y8" s="386"/>
      <c r="Z8" s="387"/>
      <c r="AA8" s="388">
        <v>3100</v>
      </c>
      <c r="AC8" s="624">
        <f>AA8</f>
        <v>3100</v>
      </c>
      <c r="AD8" s="357"/>
      <c r="AF8" s="389">
        <v>40.9</v>
      </c>
      <c r="AH8" s="390">
        <v>46</v>
      </c>
      <c r="AI8" s="237"/>
      <c r="AJ8" s="237"/>
    </row>
    <row r="9" spans="2:36" ht="15" customHeight="1" thickTop="1" thickBot="1" x14ac:dyDescent="0.25">
      <c r="B9" s="803" t="s">
        <v>33</v>
      </c>
      <c r="C9" s="802"/>
      <c r="D9" s="804"/>
      <c r="E9" s="802"/>
      <c r="F9" s="800"/>
      <c r="H9" s="1"/>
      <c r="I9" s="125" t="s">
        <v>11</v>
      </c>
      <c r="J9" s="189">
        <f>C7+E7</f>
        <v>0</v>
      </c>
      <c r="K9" s="69">
        <f>U26</f>
        <v>37</v>
      </c>
      <c r="L9" s="72">
        <f t="shared" si="0"/>
        <v>0</v>
      </c>
      <c r="M9" s="11" t="str">
        <f>IF(W26="","",W26)</f>
        <v/>
      </c>
      <c r="P9" s="362"/>
      <c r="Q9" s="375" t="str">
        <f t="shared" si="1"/>
        <v>Ln9</v>
      </c>
      <c r="R9" s="391"/>
      <c r="S9" s="377" t="s">
        <v>169</v>
      </c>
      <c r="T9" s="378"/>
      <c r="U9" s="385">
        <v>3110</v>
      </c>
      <c r="V9" s="392"/>
      <c r="W9" s="393" t="s">
        <v>176</v>
      </c>
      <c r="X9" s="357"/>
      <c r="Y9" s="394"/>
      <c r="Z9" s="395"/>
      <c r="AD9" s="357"/>
      <c r="AI9" s="237"/>
      <c r="AJ9" s="237"/>
    </row>
    <row r="10" spans="2:36" ht="15" customHeight="1" thickTop="1" thickBot="1" x14ac:dyDescent="0.3">
      <c r="B10" s="803"/>
      <c r="C10" s="802"/>
      <c r="D10" s="804"/>
      <c r="E10" s="802"/>
      <c r="F10" s="800"/>
      <c r="H10" s="1"/>
      <c r="I10" s="125" t="s">
        <v>12</v>
      </c>
      <c r="J10" s="189">
        <f>C9+E9</f>
        <v>0</v>
      </c>
      <c r="K10" s="69">
        <f>U27</f>
        <v>74</v>
      </c>
      <c r="L10" s="72">
        <f t="shared" si="0"/>
        <v>0</v>
      </c>
      <c r="M10" s="11" t="str">
        <f>IF(W27="","",W27)</f>
        <v/>
      </c>
      <c r="P10" s="362"/>
      <c r="Q10" s="375" t="str">
        <f t="shared" si="1"/>
        <v>Ln10</v>
      </c>
      <c r="R10" s="384" t="str">
        <f>IF(U8=U10,"OK",IF(J20&gt;U10,"WARN","OK"))</f>
        <v>OK</v>
      </c>
      <c r="S10" s="377" t="s">
        <v>170</v>
      </c>
      <c r="T10" s="378"/>
      <c r="U10" s="385">
        <v>2950</v>
      </c>
      <c r="V10" s="392"/>
      <c r="W10" s="393" t="s">
        <v>176</v>
      </c>
      <c r="X10" s="357"/>
      <c r="Y10" s="396" t="s">
        <v>155</v>
      </c>
      <c r="Z10" s="388">
        <v>2700</v>
      </c>
      <c r="AD10" s="357"/>
      <c r="AE10" s="389">
        <v>35.5</v>
      </c>
      <c r="AI10" s="237"/>
      <c r="AJ10" s="237"/>
    </row>
    <row r="11" spans="2:36" ht="15" customHeight="1" thickTop="1" thickBot="1" x14ac:dyDescent="0.3">
      <c r="B11" s="6" t="s">
        <v>25</v>
      </c>
      <c r="C11" s="800"/>
      <c r="D11" s="801"/>
      <c r="E11" s="801"/>
      <c r="F11" s="802"/>
      <c r="H11" s="1"/>
      <c r="I11" s="19" t="s">
        <v>13</v>
      </c>
      <c r="J11" s="189">
        <f>C11</f>
        <v>0</v>
      </c>
      <c r="K11" s="69">
        <f>U29</f>
        <v>97</v>
      </c>
      <c r="L11" s="72">
        <f t="shared" si="0"/>
        <v>0</v>
      </c>
      <c r="M11" s="11" t="str">
        <f>V29&amp;" lbs max ("&amp;V32&amp;" max baggage 1+2+3)"</f>
        <v>120 lbs max (200 max baggage 1+2+3)</v>
      </c>
      <c r="P11" s="362"/>
      <c r="Q11" s="375" t="str">
        <f t="shared" si="1"/>
        <v>Ln11</v>
      </c>
      <c r="R11" s="384" t="str">
        <f ca="1">IF(U8=U10,"OK",IF(J19&gt;U11,"WARN","OK"))</f>
        <v>OK</v>
      </c>
      <c r="S11" s="397" t="s">
        <v>171</v>
      </c>
      <c r="T11" s="398"/>
      <c r="U11" s="399">
        <f>U10</f>
        <v>2950</v>
      </c>
      <c r="V11" s="357"/>
      <c r="W11" s="357"/>
      <c r="X11" s="357"/>
      <c r="Y11" s="396" t="s">
        <v>50</v>
      </c>
      <c r="Z11" s="395"/>
      <c r="AA11" s="766" t="s">
        <v>1</v>
      </c>
      <c r="AB11" s="766"/>
      <c r="AD11" s="357"/>
      <c r="AF11" s="766" t="s">
        <v>154</v>
      </c>
      <c r="AG11" s="766"/>
      <c r="AI11" s="237"/>
      <c r="AJ11" s="237"/>
    </row>
    <row r="12" spans="2:36" ht="15" customHeight="1" thickTop="1" thickBot="1" x14ac:dyDescent="0.3">
      <c r="B12" s="6" t="s">
        <v>26</v>
      </c>
      <c r="C12" s="800"/>
      <c r="D12" s="801"/>
      <c r="E12" s="801"/>
      <c r="F12" s="802"/>
      <c r="H12" s="1"/>
      <c r="I12" s="19" t="s">
        <v>14</v>
      </c>
      <c r="J12" s="189">
        <f>C12</f>
        <v>0</v>
      </c>
      <c r="K12" s="69">
        <f>U30</f>
        <v>116</v>
      </c>
      <c r="L12" s="72">
        <f t="shared" si="0"/>
        <v>0</v>
      </c>
      <c r="M12" s="11" t="str">
        <f>V30&amp;" lbs max  ("&amp;V34&amp;" max baggage 2+3)"</f>
        <v>80 lbs max  (80 max baggage 2+3)</v>
      </c>
      <c r="P12" s="362"/>
      <c r="Q12" s="375" t="str">
        <f t="shared" si="1"/>
        <v>Ln12</v>
      </c>
      <c r="R12" s="391"/>
      <c r="S12" s="400" t="s">
        <v>7</v>
      </c>
      <c r="T12" s="391"/>
      <c r="U12" s="391"/>
      <c r="V12" s="392"/>
      <c r="W12" s="393" t="s">
        <v>176</v>
      </c>
      <c r="X12" s="357"/>
      <c r="Y12" s="396" t="s">
        <v>56</v>
      </c>
      <c r="Z12" s="388">
        <v>2250</v>
      </c>
      <c r="AA12" s="766" t="s">
        <v>153</v>
      </c>
      <c r="AB12" s="766"/>
      <c r="AD12" s="357"/>
      <c r="AE12" s="623">
        <f>AE16</f>
        <v>33</v>
      </c>
      <c r="AF12" s="766" t="s">
        <v>153</v>
      </c>
      <c r="AG12" s="766"/>
      <c r="AI12" s="237"/>
      <c r="AJ12" s="237"/>
    </row>
    <row r="13" spans="2:36" ht="15" customHeight="1" thickTop="1" x14ac:dyDescent="0.25">
      <c r="B13" s="508" t="s">
        <v>70</v>
      </c>
      <c r="D13" s="821"/>
      <c r="E13" s="821"/>
      <c r="H13" s="1"/>
      <c r="I13" s="19" t="s">
        <v>17</v>
      </c>
      <c r="J13" s="189">
        <f>D13</f>
        <v>0</v>
      </c>
      <c r="K13" s="69">
        <f>U31</f>
        <v>129</v>
      </c>
      <c r="L13" s="72">
        <f t="shared" si="0"/>
        <v>0</v>
      </c>
      <c r="M13" s="513" t="str">
        <f>V31&amp;" Lbs Max (on shelf)"</f>
        <v>80 Lbs Max (on shelf)</v>
      </c>
      <c r="P13" s="362"/>
      <c r="Q13" s="375" t="str">
        <f t="shared" si="1"/>
        <v>Ln13</v>
      </c>
      <c r="R13" s="391"/>
      <c r="S13" s="400" t="s">
        <v>194</v>
      </c>
      <c r="T13" s="391"/>
      <c r="U13" s="391"/>
      <c r="V13" s="392"/>
      <c r="W13" s="393" t="s">
        <v>176</v>
      </c>
      <c r="X13" s="357"/>
      <c r="Y13" s="396" t="s">
        <v>57</v>
      </c>
      <c r="Z13" s="395"/>
      <c r="AC13" s="767" t="s">
        <v>157</v>
      </c>
      <c r="AD13" s="357"/>
      <c r="AH13" s="767" t="s">
        <v>167</v>
      </c>
      <c r="AI13" s="237"/>
      <c r="AJ13" s="237"/>
    </row>
    <row r="14" spans="2:36" ht="15" customHeight="1" thickBot="1" x14ac:dyDescent="0.35">
      <c r="B14" s="3"/>
      <c r="C14" s="235"/>
      <c r="D14" s="2"/>
      <c r="E14" s="2"/>
      <c r="F14" s="40" t="str">
        <f>IF(R20="err","","(Std Fueling "&amp;T19&amp;" gal ("&amp;T20&amp;"))")</f>
        <v>(Std Fueling 64 gal (TABS))</v>
      </c>
      <c r="H14" s="1"/>
      <c r="I14" s="15" t="s">
        <v>6</v>
      </c>
      <c r="J14" s="71">
        <f>SUM(J7:J13)</f>
        <v>2423.06</v>
      </c>
      <c r="K14" s="26"/>
      <c r="L14" s="70">
        <f>SUM(L7:L13)</f>
        <v>98.847460000000012</v>
      </c>
      <c r="M14" s="11" t="str">
        <f>"Max Ramp Weight: "&amp;TEXT(U9,"#,###")&amp;IF(U8&lt;&gt;U10," - Landing "&amp;TEXT(U10,"#,###"),"")</f>
        <v>Max Ramp Weight: 3,110 - Landing 2,950</v>
      </c>
      <c r="P14" s="362"/>
      <c r="Q14" s="375" t="str">
        <f t="shared" si="1"/>
        <v>Ln14</v>
      </c>
      <c r="R14" s="391"/>
      <c r="S14" s="400" t="s">
        <v>24</v>
      </c>
      <c r="T14" s="391"/>
      <c r="U14" s="391"/>
      <c r="V14" s="392"/>
      <c r="W14" s="393" t="s">
        <v>177</v>
      </c>
      <c r="X14" s="357"/>
      <c r="Y14" s="396" t="s">
        <v>156</v>
      </c>
      <c r="Z14" s="395"/>
      <c r="AC14" s="767"/>
      <c r="AD14" s="357"/>
      <c r="AH14" s="767"/>
      <c r="AI14" s="237"/>
      <c r="AJ14" s="237"/>
    </row>
    <row r="15" spans="2:36" ht="15" customHeight="1" thickTop="1" thickBot="1" x14ac:dyDescent="0.3">
      <c r="B15" s="32" t="s">
        <v>88</v>
      </c>
      <c r="C15" s="4"/>
      <c r="D15" s="793">
        <v>64</v>
      </c>
      <c r="E15" s="793"/>
      <c r="F15" s="5" t="s">
        <v>36</v>
      </c>
      <c r="H15" s="1"/>
      <c r="I15" s="16" t="s">
        <v>15</v>
      </c>
      <c r="J15" s="585">
        <f>V21</f>
        <v>-10</v>
      </c>
      <c r="K15" s="69">
        <f>U18</f>
        <v>46.5</v>
      </c>
      <c r="L15" s="72">
        <f>ROUND((J15*K15)/1000,5)</f>
        <v>-0.46500000000000002</v>
      </c>
      <c r="M15" s="11" t="s">
        <v>16</v>
      </c>
      <c r="P15" s="362"/>
      <c r="Q15" s="375" t="str">
        <f t="shared" si="1"/>
        <v>Ln15</v>
      </c>
      <c r="R15" s="391"/>
      <c r="S15" s="400" t="s">
        <v>193</v>
      </c>
      <c r="T15" s="391"/>
      <c r="U15" s="391"/>
      <c r="V15" s="392"/>
      <c r="W15" s="393" t="s">
        <v>177</v>
      </c>
      <c r="X15" s="357"/>
      <c r="Y15" s="396" t="s">
        <v>47</v>
      </c>
      <c r="Z15" s="388">
        <v>1800</v>
      </c>
      <c r="AC15" s="792"/>
      <c r="AD15" s="357"/>
      <c r="AH15" s="792"/>
      <c r="AI15" s="237"/>
      <c r="AJ15" s="237"/>
    </row>
    <row r="16" spans="2:36" ht="15" customHeight="1" thickTop="1" thickBot="1" x14ac:dyDescent="0.25">
      <c r="B16" s="32" t="s">
        <v>35</v>
      </c>
      <c r="C16" s="2"/>
      <c r="D16" s="794"/>
      <c r="E16" s="795"/>
      <c r="F16" s="5" t="s">
        <v>108</v>
      </c>
      <c r="H16" s="1"/>
      <c r="I16" s="17" t="s">
        <v>7</v>
      </c>
      <c r="J16" s="126">
        <f ca="1">IF(expired=TRUE,9999,SUM(J14:J15))</f>
        <v>2413.06</v>
      </c>
      <c r="K16" s="73" t="s">
        <v>5</v>
      </c>
      <c r="L16" s="74">
        <f>SUM(L14:L15)</f>
        <v>98.382460000000009</v>
      </c>
      <c r="M16" s="110" t="str">
        <f>"Max Gross: "&amp;TEXT(U8,"#,##0")&amp;"   Useful Load: "&amp;TEXT(U37,"#,##0")</f>
        <v>Max Gross: 3,100   Useful Load: 1,060</v>
      </c>
      <c r="P16" s="362"/>
      <c r="Q16" s="401"/>
      <c r="R16" s="401"/>
      <c r="S16" s="401"/>
      <c r="T16" s="401"/>
      <c r="U16" s="401"/>
      <c r="V16" s="401"/>
      <c r="W16" s="401"/>
      <c r="X16" s="357"/>
      <c r="Y16" s="402"/>
      <c r="Z16" s="395"/>
      <c r="AC16" s="403">
        <f>AC8</f>
        <v>3100</v>
      </c>
      <c r="AD16" s="357"/>
      <c r="AE16" s="404">
        <v>33</v>
      </c>
      <c r="AF16" s="82"/>
      <c r="AG16" s="82"/>
      <c r="AH16" s="405">
        <f>AH8</f>
        <v>46</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40.770830397917997</v>
      </c>
      <c r="L17" s="75" t="s">
        <v>5</v>
      </c>
      <c r="M17" s="12" t="s">
        <v>9</v>
      </c>
      <c r="P17" s="362"/>
      <c r="Q17" s="370" t="s">
        <v>158</v>
      </c>
      <c r="R17" s="371"/>
      <c r="S17" s="371"/>
      <c r="T17" s="406" t="s">
        <v>174</v>
      </c>
      <c r="U17" s="372" t="s">
        <v>2</v>
      </c>
      <c r="V17" s="372" t="s">
        <v>1</v>
      </c>
      <c r="W17" s="373" t="s">
        <v>179</v>
      </c>
      <c r="X17" s="357"/>
      <c r="Y17" s="407"/>
      <c r="Z17" s="408"/>
      <c r="AD17" s="357"/>
      <c r="AE17" s="409"/>
      <c r="AF17" s="797" t="s">
        <v>161</v>
      </c>
      <c r="AG17" s="797"/>
      <c r="AH17" s="410"/>
      <c r="AI17" s="237"/>
      <c r="AJ17" s="237"/>
    </row>
    <row r="18" spans="2:36" ht="15" customHeight="1" thickTop="1" thickBot="1" x14ac:dyDescent="0.25">
      <c r="B18" s="32" t="s">
        <v>139</v>
      </c>
      <c r="D18" s="798">
        <f>D16*D17</f>
        <v>0</v>
      </c>
      <c r="E18" s="799"/>
      <c r="F18" s="5" t="s">
        <v>36</v>
      </c>
      <c r="H18" s="1"/>
      <c r="I18" s="23" t="s">
        <v>23</v>
      </c>
      <c r="J18" s="25">
        <f>D18*6*-1</f>
        <v>0</v>
      </c>
      <c r="K18" s="25">
        <f>K8</f>
        <v>46.5</v>
      </c>
      <c r="L18" s="92">
        <f>ROUND((J18*K18)/1000,5)</f>
        <v>0</v>
      </c>
      <c r="M18" s="29" t="s">
        <v>73</v>
      </c>
      <c r="P18" s="362"/>
      <c r="Q18" s="375" t="str">
        <f t="shared" si="1"/>
        <v>Ln18</v>
      </c>
      <c r="R18" s="384" t="str">
        <f>IF(D15&gt;T18,"ERR","OK")</f>
        <v>OK</v>
      </c>
      <c r="S18" s="548" t="s">
        <v>239</v>
      </c>
      <c r="T18" s="411">
        <v>87</v>
      </c>
      <c r="U18" s="380">
        <v>46.5</v>
      </c>
      <c r="V18" s="412">
        <f>T18*6</f>
        <v>522</v>
      </c>
      <c r="W18" s="393" t="s">
        <v>176</v>
      </c>
      <c r="X18" s="357"/>
      <c r="Y18" s="357"/>
      <c r="Z18" s="357"/>
      <c r="AA18" s="357"/>
      <c r="AB18" s="357"/>
      <c r="AC18" s="357"/>
      <c r="AD18" s="357"/>
      <c r="AE18" s="357"/>
      <c r="AF18" s="357"/>
      <c r="AG18" s="357"/>
      <c r="AH18" s="35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587">
        <f ca="1">SUM(J16:J18)</f>
        <v>2413.06</v>
      </c>
      <c r="K19" s="93"/>
      <c r="L19" s="24">
        <f>SUM(L16:L18)</f>
        <v>98.382460000000009</v>
      </c>
      <c r="M19" s="29" t="str">
        <f>IF(U8=U10,"Landing Weight Limit same as Takeoff Weight","Max Landing Weight  "&amp;TEXT(U10,"#,##0"))</f>
        <v>Max Landing Weight  2,950</v>
      </c>
      <c r="P19" s="362"/>
      <c r="Q19" s="375" t="str">
        <f t="shared" si="1"/>
        <v>Ln19</v>
      </c>
      <c r="R19" s="391"/>
      <c r="S19" s="549" t="s">
        <v>240</v>
      </c>
      <c r="T19" s="411">
        <v>64</v>
      </c>
      <c r="U19" s="413"/>
      <c r="V19" s="412">
        <f>T19*6</f>
        <v>384</v>
      </c>
      <c r="W19" s="357"/>
      <c r="X19" s="357"/>
      <c r="Y19" s="357"/>
      <c r="Z19" s="357"/>
      <c r="AA19" s="414" t="str">
        <f ca="1">IF(AA20&gt;U8,"OUT","OK")</f>
        <v>OK</v>
      </c>
      <c r="AB19" s="415" t="s">
        <v>164</v>
      </c>
      <c r="AC19" s="357"/>
      <c r="AD19" s="357"/>
      <c r="AE19" s="414" t="str">
        <f ca="1">IF(AA19="out","out",IF(AND(AE20&gt;=AG20,AE20&lt;=AH20),"OK","OUT"))</f>
        <v>OK</v>
      </c>
      <c r="AF19" s="357"/>
      <c r="AG19" s="357"/>
      <c r="AH19" s="357"/>
      <c r="AI19" s="237"/>
      <c r="AJ19" s="237"/>
    </row>
    <row r="20" spans="2:36" ht="15" customHeight="1" thickTop="1" thickBot="1" x14ac:dyDescent="0.25">
      <c r="B20" s="135" t="s">
        <v>132</v>
      </c>
      <c r="I20" s="28" t="s">
        <v>8</v>
      </c>
      <c r="J20" s="94"/>
      <c r="K20" s="589">
        <f ca="1">(L19*1000)/J19</f>
        <v>40.770830397917997</v>
      </c>
      <c r="L20" s="588"/>
      <c r="M20" s="30" t="s">
        <v>65</v>
      </c>
      <c r="P20" s="362"/>
      <c r="Q20" s="375" t="str">
        <f t="shared" si="1"/>
        <v>Ln20</v>
      </c>
      <c r="R20" s="83" t="str">
        <f>IF(AND(T18=T19,LEFT(T20,1)="F"),"OK",IF(AND(T18&lt;&gt;T19,LEFT(T20,1)&lt;&gt;"F"),"OK","ERR"))</f>
        <v>OK</v>
      </c>
      <c r="S20" s="547" t="s">
        <v>188</v>
      </c>
      <c r="T20" s="546" t="s">
        <v>187</v>
      </c>
      <c r="U20" s="397" t="s">
        <v>190</v>
      </c>
      <c r="V20" s="412"/>
      <c r="W20" s="392"/>
      <c r="X20" s="357"/>
      <c r="Y20" s="416" t="s">
        <v>47</v>
      </c>
      <c r="Z20" s="417" t="s">
        <v>1</v>
      </c>
      <c r="AA20" s="418">
        <f ca="1">J16</f>
        <v>2413.06</v>
      </c>
      <c r="AB20" s="419"/>
      <c r="AC20" s="420"/>
      <c r="AD20" s="421" t="s">
        <v>40</v>
      </c>
      <c r="AE20" s="422">
        <f ca="1">K17</f>
        <v>40.770830397917997</v>
      </c>
      <c r="AF20" s="423" t="s">
        <v>61</v>
      </c>
      <c r="AG20" s="424">
        <f ca="1">VLOOKUP(AA20,Z23:AH26,8,TRUE)</f>
        <v>33.9066136</v>
      </c>
      <c r="AH20" s="425">
        <f ca="1">VLOOKUP(AA20,Z23:AH26,9,TRUE)</f>
        <v>46</v>
      </c>
      <c r="AI20" s="237"/>
      <c r="AJ20" s="237"/>
    </row>
    <row r="21" spans="2:36" ht="13.5" thickTop="1" x14ac:dyDescent="0.2">
      <c r="B21" s="770" t="str">
        <f ca="1">IF(R10&lt;&gt;"OK","Caution - Landing Weight",IF(R11&lt;&gt;"OK","Watch Early Landing Weight",""))</f>
        <v/>
      </c>
      <c r="C21" s="772" t="str">
        <f ca="1">IF(OR(AA19="out",AE19="out"),"CAUTION:   Wt or CG Out of Limits","")</f>
        <v/>
      </c>
      <c r="D21" s="772"/>
      <c r="E21" s="772"/>
      <c r="F21" s="773"/>
      <c r="P21" s="362"/>
      <c r="Q21" s="375" t="str">
        <f t="shared" si="1"/>
        <v>Ln21</v>
      </c>
      <c r="R21" s="391"/>
      <c r="S21" s="548" t="s">
        <v>191</v>
      </c>
      <c r="T21" s="411">
        <v>1.7</v>
      </c>
      <c r="U21" s="413"/>
      <c r="V21" s="412">
        <f>ROUND(T21*6,0)*-1</f>
        <v>-10</v>
      </c>
      <c r="W21" s="357"/>
      <c r="X21" s="357"/>
      <c r="Y21" s="426" t="s">
        <v>48</v>
      </c>
      <c r="Z21" s="427"/>
      <c r="AA21" s="428" t="s">
        <v>67</v>
      </c>
      <c r="AB21" s="429"/>
      <c r="AC21" s="430"/>
      <c r="AD21" s="427"/>
      <c r="AE21" s="431" t="s">
        <v>66</v>
      </c>
      <c r="AF21" s="427"/>
      <c r="AG21" s="432" t="s">
        <v>46</v>
      </c>
      <c r="AH21" s="433" t="s">
        <v>46</v>
      </c>
      <c r="AI21" s="237"/>
      <c r="AJ21" s="237"/>
    </row>
    <row r="22" spans="2:36" ht="13.5" thickBot="1" x14ac:dyDescent="0.25">
      <c r="B22" s="771"/>
      <c r="C22" s="774"/>
      <c r="D22" s="774"/>
      <c r="E22" s="774"/>
      <c r="F22" s="775"/>
      <c r="P22" s="358"/>
      <c r="Q22" s="357"/>
      <c r="R22" s="391"/>
      <c r="S22" s="550" t="s">
        <v>15</v>
      </c>
      <c r="T22" s="391"/>
      <c r="U22" s="392"/>
      <c r="V22" s="391"/>
      <c r="W22" s="393" t="s">
        <v>177</v>
      </c>
      <c r="X22" s="357"/>
      <c r="Y22" s="426" t="s">
        <v>49</v>
      </c>
      <c r="Z22" s="434" t="s">
        <v>41</v>
      </c>
      <c r="AA22" s="434" t="s">
        <v>42</v>
      </c>
      <c r="AB22" s="435" t="s">
        <v>43</v>
      </c>
      <c r="AC22" s="436" t="s">
        <v>41</v>
      </c>
      <c r="AD22" s="437" t="s">
        <v>42</v>
      </c>
      <c r="AE22" s="438" t="s">
        <v>44</v>
      </c>
      <c r="AF22" s="439" t="s">
        <v>45</v>
      </c>
      <c r="AG22" s="440" t="s">
        <v>68</v>
      </c>
      <c r="AH22" s="441" t="s">
        <v>69</v>
      </c>
      <c r="AI22" s="237"/>
      <c r="AJ22" s="237"/>
    </row>
    <row r="23" spans="2:36" ht="13.5" thickTop="1" x14ac:dyDescent="0.2">
      <c r="B23" s="34" t="str">
        <f>IF(AND(R52&lt;&gt;"OK",R48&lt;&gt;"OK"),"Enter Fuel on Board","")</f>
        <v/>
      </c>
      <c r="C23" s="776" t="str">
        <f>IF(R53&lt;&gt;"OK","Fuel &lt;1-HR Reserve","")</f>
        <v/>
      </c>
      <c r="D23" s="776"/>
      <c r="E23" s="776"/>
      <c r="F23" s="777"/>
      <c r="I23" s="10" t="s">
        <v>64</v>
      </c>
      <c r="P23" s="358"/>
      <c r="Q23" s="401"/>
      <c r="R23" s="391"/>
      <c r="S23" s="550" t="s">
        <v>23</v>
      </c>
      <c r="T23" s="391"/>
      <c r="U23" s="392"/>
      <c r="V23" s="391"/>
      <c r="W23" s="393" t="s">
        <v>177</v>
      </c>
      <c r="X23" s="357"/>
      <c r="Y23" s="426" t="s">
        <v>50</v>
      </c>
      <c r="Z23" s="442">
        <f>Z15</f>
        <v>1800</v>
      </c>
      <c r="AA23" s="443">
        <f>Z12</f>
        <v>2250</v>
      </c>
      <c r="AB23" s="444">
        <f>+AA23-Z23</f>
        <v>450</v>
      </c>
      <c r="AC23" s="445">
        <f>AE16</f>
        <v>33</v>
      </c>
      <c r="AD23" s="446">
        <f>AE12</f>
        <v>33</v>
      </c>
      <c r="AE23" s="447">
        <f>AD23-AC23</f>
        <v>0</v>
      </c>
      <c r="AF23" s="448">
        <f>IF(OR(AB23=0,AE23=0),0,ROUND(AE23/AB23,5))</f>
        <v>0</v>
      </c>
      <c r="AG23" s="449">
        <f ca="1">IF(AND(AA20&gt;=Z23,AA20&lt;AA23),AC23+((AA20-Z23)*AF23),AC23)</f>
        <v>33</v>
      </c>
      <c r="AH23" s="450">
        <f>AD26</f>
        <v>46</v>
      </c>
      <c r="AI23" s="237"/>
      <c r="AJ23" s="237"/>
    </row>
    <row r="24" spans="2:36" ht="12.75" customHeight="1" x14ac:dyDescent="0.2">
      <c r="B24" s="77" t="str">
        <f>IF(AND(R52&lt;&gt;"OK",R49&lt;&gt;"OK"),"Enter GPH Usage","")</f>
        <v/>
      </c>
      <c r="C24" s="778" t="str">
        <f>IF(OR(R18&lt;&gt;"OK",R51&lt;&gt;"OK"),"Fueling Error","")</f>
        <v/>
      </c>
      <c r="D24" s="778"/>
      <c r="E24" s="778"/>
      <c r="F24" s="779"/>
      <c r="I24" s="9" t="s">
        <v>62</v>
      </c>
      <c r="P24" s="358"/>
      <c r="Q24" s="401"/>
      <c r="R24" s="401"/>
      <c r="S24" s="401"/>
      <c r="T24" s="401"/>
      <c r="U24" s="401"/>
      <c r="V24" s="401"/>
      <c r="W24" s="401"/>
      <c r="X24" s="357"/>
      <c r="Y24" s="426" t="s">
        <v>51</v>
      </c>
      <c r="Z24" s="451">
        <f>AA23</f>
        <v>2250</v>
      </c>
      <c r="AA24" s="452">
        <f>Z10</f>
        <v>2700</v>
      </c>
      <c r="AB24" s="453">
        <f>+AA24-Z24</f>
        <v>450</v>
      </c>
      <c r="AC24" s="454">
        <f>IF(AD24=AD23,AC23,AD23)</f>
        <v>33</v>
      </c>
      <c r="AD24" s="455">
        <f>AE10</f>
        <v>35.5</v>
      </c>
      <c r="AE24" s="447">
        <f>AD24-AC24</f>
        <v>2.5</v>
      </c>
      <c r="AF24" s="448">
        <f>IF(OR(AB24=0,AE24=0),0,ROUND(AE24/AB24,5))</f>
        <v>5.5599999999999998E-3</v>
      </c>
      <c r="AG24" s="449">
        <f ca="1">IF(AND(AA20&gt;=Z24,AA20&lt;AA24),AC24+((AA20-Z24)*AF24),AC24)</f>
        <v>33.9066136</v>
      </c>
      <c r="AH24" s="213">
        <f>AH23</f>
        <v>46</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358"/>
      <c r="Q25" s="370" t="s">
        <v>159</v>
      </c>
      <c r="R25" s="371"/>
      <c r="S25" s="371"/>
      <c r="T25" s="371"/>
      <c r="U25" s="372" t="s">
        <v>2</v>
      </c>
      <c r="V25" s="372" t="s">
        <v>1</v>
      </c>
      <c r="W25" s="373" t="s">
        <v>179</v>
      </c>
      <c r="X25" s="357"/>
      <c r="Y25" s="426" t="s">
        <v>52</v>
      </c>
      <c r="Z25" s="451">
        <f>AA24</f>
        <v>2700</v>
      </c>
      <c r="AA25" s="452">
        <f>AA8</f>
        <v>3100</v>
      </c>
      <c r="AB25" s="453">
        <f>+AA25-Z25</f>
        <v>400</v>
      </c>
      <c r="AC25" s="454">
        <f>IF(AD25=AD24,AC24,AD24)</f>
        <v>35.5</v>
      </c>
      <c r="AD25" s="455">
        <f>AF8</f>
        <v>40.9</v>
      </c>
      <c r="AE25" s="447">
        <f>AD25-AC25</f>
        <v>5.3999999999999986</v>
      </c>
      <c r="AF25" s="448">
        <f>IF(OR(AB25=0,AE25=0),0,ROUND(AE25/AB25,5))</f>
        <v>1.35E-2</v>
      </c>
      <c r="AG25" s="449">
        <f ca="1">IF(AND(AA20&gt;=Z25,AA20&lt;AA25),AC25+((AA20-Z25)*AF25),AC25)</f>
        <v>35.5</v>
      </c>
      <c r="AH25" s="213">
        <f>AH24</f>
        <v>46</v>
      </c>
      <c r="AI25" s="237"/>
      <c r="AJ25" s="237"/>
    </row>
    <row r="26" spans="2:36" ht="13.5" thickTop="1" x14ac:dyDescent="0.2">
      <c r="I26" s="8" t="str">
        <f>"R Front:  "&amp;IF(E7=0,"---",E7&amp;"#")</f>
        <v>R Front:  ---</v>
      </c>
      <c r="P26" s="358"/>
      <c r="Q26" s="375" t="str">
        <f t="shared" si="1"/>
        <v>Ln26</v>
      </c>
      <c r="R26" s="391"/>
      <c r="S26" s="456" t="s">
        <v>11</v>
      </c>
      <c r="T26" s="378"/>
      <c r="U26" s="380">
        <v>37</v>
      </c>
      <c r="V26" s="412">
        <f>C7+E7</f>
        <v>0</v>
      </c>
      <c r="W26" s="457"/>
      <c r="X26" s="357"/>
      <c r="Y26" s="458" t="s">
        <v>52</v>
      </c>
      <c r="Z26" s="459">
        <f>AA25</f>
        <v>3100</v>
      </c>
      <c r="AA26" s="460">
        <f>AC8</f>
        <v>3100</v>
      </c>
      <c r="AB26" s="461">
        <f>+AA26-Z26</f>
        <v>0</v>
      </c>
      <c r="AC26" s="462">
        <f>IF(AD26=AD25,AC25,AD25)</f>
        <v>40.9</v>
      </c>
      <c r="AD26" s="463">
        <f>AH8</f>
        <v>46</v>
      </c>
      <c r="AE26" s="464">
        <f>AD26-AC26</f>
        <v>5.1000000000000014</v>
      </c>
      <c r="AF26" s="465">
        <f>IF(OR(AB26=0,AE26=0),0,ROUND(AE26/AB26,5))</f>
        <v>0</v>
      </c>
      <c r="AG26" s="466">
        <f ca="1">IF(AND(AA20&gt;=Z26,AA20&lt;AA26),AC26+((AA20-Z26)*AF26),AC26)</f>
        <v>40.9</v>
      </c>
      <c r="AH26" s="217">
        <f>AH25</f>
        <v>46</v>
      </c>
      <c r="AI26" s="237"/>
      <c r="AJ26" s="237"/>
    </row>
    <row r="27" spans="2:36" ht="12.75" customHeight="1" x14ac:dyDescent="0.2">
      <c r="B27" s="60" t="s">
        <v>79</v>
      </c>
      <c r="H27" s="1"/>
      <c r="I27" s="8" t="str">
        <f>"L  Rear:  "&amp;IF(C9=0,"---",C9&amp;"#")</f>
        <v>L  Rear:  ---</v>
      </c>
      <c r="P27" s="358"/>
      <c r="Q27" s="375" t="str">
        <f t="shared" si="1"/>
        <v>Ln27</v>
      </c>
      <c r="R27" s="391"/>
      <c r="S27" s="456" t="s">
        <v>12</v>
      </c>
      <c r="T27" s="378"/>
      <c r="U27" s="380">
        <v>74</v>
      </c>
      <c r="V27" s="412">
        <f>C9+E9</f>
        <v>0</v>
      </c>
      <c r="W27" s="457"/>
      <c r="X27" s="357"/>
      <c r="Y27" s="357"/>
      <c r="Z27" s="357"/>
      <c r="AA27" s="357"/>
      <c r="AB27" s="357"/>
      <c r="AC27" s="357"/>
      <c r="AD27" s="357"/>
      <c r="AE27" s="357"/>
      <c r="AF27" s="357"/>
      <c r="AG27" s="357"/>
      <c r="AH27" s="357"/>
      <c r="AI27" s="237"/>
      <c r="AJ27" s="237"/>
    </row>
    <row r="28" spans="2:36" ht="13.5" thickBot="1" x14ac:dyDescent="0.25">
      <c r="B28" s="22" t="s">
        <v>127</v>
      </c>
      <c r="D28" s="782">
        <f>U37+(J15*-1)</f>
        <v>1070</v>
      </c>
      <c r="E28" s="783"/>
      <c r="F28" s="784" t="str">
        <f>"( "&amp;TEXT(U37,"#,##0")&amp;"+"&amp;J15*-1&amp;" )"</f>
        <v>( 1,060+10 )</v>
      </c>
      <c r="G28" s="785"/>
      <c r="H28" s="785"/>
      <c r="I28" s="8" t="str">
        <f>"R  Rear:  "&amp;IF(E9=0,"---",E9&amp;"#")</f>
        <v>R  Rear:  ---</v>
      </c>
      <c r="P28" s="358"/>
      <c r="Q28" s="357"/>
      <c r="R28" s="357"/>
      <c r="S28" s="357"/>
      <c r="T28" s="357"/>
      <c r="U28" s="413"/>
      <c r="V28" s="413"/>
      <c r="W28" s="357"/>
      <c r="X28" s="357"/>
      <c r="Y28" s="357"/>
      <c r="Z28" s="357"/>
      <c r="AA28" s="357"/>
      <c r="AB28" s="357"/>
      <c r="AC28" s="357"/>
      <c r="AD28" s="357"/>
      <c r="AE28" s="357"/>
      <c r="AF28" s="357"/>
      <c r="AG28" s="357"/>
      <c r="AH28" s="357"/>
      <c r="AI28" s="237"/>
      <c r="AJ28" s="237"/>
    </row>
    <row r="29" spans="2:36" ht="13.5" thickBot="1" x14ac:dyDescent="0.25">
      <c r="B29" s="22" t="s">
        <v>126</v>
      </c>
      <c r="D29" s="786">
        <f>SUM(J8:J13)</f>
        <v>384</v>
      </c>
      <c r="E29" s="787"/>
      <c r="I29" s="8" t="str">
        <f>"Bag 1:  "&amp;IF(C11=0,"---",C11&amp;"#")</f>
        <v>Bag 1:  ---</v>
      </c>
      <c r="P29" s="358"/>
      <c r="Q29" s="375" t="str">
        <f t="shared" si="1"/>
        <v>Ln29</v>
      </c>
      <c r="R29" s="467" t="str">
        <f>IF(C11&gt;V29,"ERR","OK")</f>
        <v>OK</v>
      </c>
      <c r="S29" s="456" t="s">
        <v>25</v>
      </c>
      <c r="T29" s="512">
        <f>C11</f>
        <v>0</v>
      </c>
      <c r="U29" s="380">
        <v>97</v>
      </c>
      <c r="V29" s="468">
        <v>120</v>
      </c>
      <c r="W29" s="393" t="s">
        <v>176</v>
      </c>
      <c r="X29" s="357"/>
      <c r="Y29" s="357"/>
      <c r="Z29" s="357"/>
      <c r="AA29" s="357"/>
      <c r="AB29" s="357"/>
      <c r="AC29" s="357"/>
      <c r="AD29" s="357"/>
      <c r="AE29" s="357"/>
      <c r="AF29" s="357"/>
      <c r="AG29" s="357"/>
      <c r="AH29" s="357"/>
      <c r="AI29" s="237"/>
      <c r="AJ29" s="237"/>
    </row>
    <row r="30" spans="2:36" ht="15.75" x14ac:dyDescent="0.3">
      <c r="B30" s="22" t="str">
        <f>IF(D29&lt;=D28,"Lbs before overweight","OVERWEIGHT")</f>
        <v>Lbs before overweight</v>
      </c>
      <c r="D30" s="788">
        <f>ABS(D28-D29)</f>
        <v>686</v>
      </c>
      <c r="E30" s="789"/>
      <c r="F30" s="790" t="str">
        <f>IF(D29&gt;D28,"# Over","")</f>
        <v/>
      </c>
      <c r="G30" s="791"/>
      <c r="H30" s="791"/>
      <c r="I30" s="8" t="str">
        <f>"Bag 2:  "&amp;IF(C12=0,"---",C12&amp;"#")</f>
        <v>Bag 2:  ---</v>
      </c>
      <c r="P30" s="358"/>
      <c r="Q30" s="375" t="str">
        <f t="shared" si="1"/>
        <v>Ln30</v>
      </c>
      <c r="R30" s="467" t="str">
        <f>IF(C12&gt;V30,"ERR","OK")</f>
        <v>OK</v>
      </c>
      <c r="S30" s="456" t="s">
        <v>26</v>
      </c>
      <c r="T30" s="512">
        <f>C12</f>
        <v>0</v>
      </c>
      <c r="U30" s="380">
        <v>116</v>
      </c>
      <c r="V30" s="468">
        <v>80</v>
      </c>
      <c r="W30" s="393" t="s">
        <v>176</v>
      </c>
      <c r="X30" s="357"/>
      <c r="Y30" s="357"/>
      <c r="Z30" s="472"/>
      <c r="AA30" s="473"/>
      <c r="AB30" s="474" t="s">
        <v>165</v>
      </c>
      <c r="AC30" s="371"/>
      <c r="AD30" s="371"/>
      <c r="AE30" s="371"/>
      <c r="AF30" s="371"/>
      <c r="AG30" s="371"/>
      <c r="AH30" s="357"/>
      <c r="AI30" s="237"/>
      <c r="AJ30" s="237"/>
    </row>
    <row r="31" spans="2:36" ht="15.75" thickBot="1" x14ac:dyDescent="0.3">
      <c r="P31" s="358"/>
      <c r="Q31" s="375" t="str">
        <f t="shared" si="1"/>
        <v>Ln31</v>
      </c>
      <c r="R31" s="511" t="str">
        <f>IF(D13&gt;V31,"ERR","OK")</f>
        <v>OK</v>
      </c>
      <c r="S31" s="509" t="s">
        <v>28</v>
      </c>
      <c r="T31" s="512">
        <f>D13</f>
        <v>0</v>
      </c>
      <c r="U31" s="380">
        <v>129</v>
      </c>
      <c r="V31" s="468">
        <v>80</v>
      </c>
      <c r="W31" s="393" t="s">
        <v>176</v>
      </c>
      <c r="X31" s="357"/>
      <c r="Y31" s="357"/>
      <c r="Z31" s="357"/>
      <c r="AA31" s="357"/>
      <c r="AB31" s="357"/>
      <c r="AC31" s="382" t="s">
        <v>162</v>
      </c>
      <c r="AD31" s="357"/>
      <c r="AE31" s="357"/>
      <c r="AF31" s="357"/>
      <c r="AG31" s="473"/>
      <c r="AH31" s="357"/>
      <c r="AI31" s="237"/>
      <c r="AJ31" s="237"/>
    </row>
    <row r="32" spans="2:36" ht="13.5" thickTop="1" x14ac:dyDescent="0.2">
      <c r="I32" s="8"/>
      <c r="P32" s="358"/>
      <c r="Q32" s="375" t="str">
        <f t="shared" si="1"/>
        <v>Ln32</v>
      </c>
      <c r="R32" s="511" t="str">
        <f>IF(C11+C12+D13&gt;V32,"ERR","OK")</f>
        <v>OK</v>
      </c>
      <c r="S32" s="510" t="s">
        <v>29</v>
      </c>
      <c r="T32" s="512">
        <f>SUM(C11,C12,D13)</f>
        <v>0</v>
      </c>
      <c r="U32" s="471"/>
      <c r="V32" s="468">
        <v>200</v>
      </c>
      <c r="W32" s="357"/>
      <c r="X32" s="357"/>
      <c r="Y32" s="476"/>
      <c r="Z32" s="477"/>
      <c r="AA32" s="478">
        <v>2950</v>
      </c>
      <c r="AC32" s="403">
        <f>AA32</f>
        <v>2950</v>
      </c>
      <c r="AD32" s="357"/>
      <c r="AF32" s="479">
        <v>39</v>
      </c>
      <c r="AH32" s="390">
        <v>46</v>
      </c>
      <c r="AI32" s="237"/>
      <c r="AJ32" s="237"/>
    </row>
    <row r="33" spans="8:36" x14ac:dyDescent="0.2">
      <c r="I33" s="9" t="s">
        <v>63</v>
      </c>
      <c r="P33" s="358"/>
      <c r="Q33" s="375" t="str">
        <f t="shared" si="1"/>
        <v>Ln33</v>
      </c>
      <c r="R33" s="511" t="str">
        <f>IF(C11+C12&gt;V33,"ERR","OK")</f>
        <v>OK</v>
      </c>
      <c r="S33" s="470" t="s">
        <v>30</v>
      </c>
      <c r="T33" s="512"/>
      <c r="U33" s="471"/>
      <c r="V33" s="468">
        <v>200</v>
      </c>
      <c r="W33" s="357"/>
      <c r="X33" s="357"/>
      <c r="Y33" s="480"/>
      <c r="Z33" s="82"/>
      <c r="AD33" s="357"/>
      <c r="AI33" s="237"/>
      <c r="AJ33" s="237"/>
    </row>
    <row r="34" spans="8:36" ht="13.5" x14ac:dyDescent="0.25">
      <c r="I34" s="10" t="str">
        <f>"Start:  "&amp;TEXT(D15,("###.0"))&amp;" USG"</f>
        <v>Start:  64.0 USG</v>
      </c>
      <c r="P34" s="358"/>
      <c r="Q34" s="375" t="str">
        <f t="shared" si="1"/>
        <v>Ln34</v>
      </c>
      <c r="R34" s="511" t="str">
        <f>IF(C12+D13&gt;V34,"ERR","OK")</f>
        <v>OK</v>
      </c>
      <c r="S34" s="510" t="s">
        <v>71</v>
      </c>
      <c r="T34" s="512"/>
      <c r="U34" s="471"/>
      <c r="V34" s="468">
        <v>80</v>
      </c>
      <c r="W34" s="357"/>
      <c r="X34" s="357"/>
      <c r="Y34" s="481" t="s">
        <v>155</v>
      </c>
      <c r="Z34" s="478">
        <v>2700</v>
      </c>
      <c r="AD34" s="357"/>
      <c r="AE34" s="483">
        <v>35.700000000000003</v>
      </c>
      <c r="AI34" s="237"/>
      <c r="AJ34" s="237"/>
    </row>
    <row r="35" spans="8:36" ht="13.5" x14ac:dyDescent="0.25">
      <c r="I35" s="10" t="str">
        <f>"Used:    "&amp;TEXT(D18,("###.0"))&amp;" USG"</f>
        <v>Used:    .0 USG</v>
      </c>
      <c r="P35" s="358"/>
      <c r="Q35" s="357"/>
      <c r="R35" s="357"/>
      <c r="S35" s="357"/>
      <c r="T35" s="357"/>
      <c r="U35" s="357"/>
      <c r="V35" s="357"/>
      <c r="W35" s="357"/>
      <c r="X35" s="357"/>
      <c r="Y35" s="481" t="s">
        <v>50</v>
      </c>
      <c r="Z35" s="82"/>
      <c r="AA35" s="766" t="s">
        <v>1</v>
      </c>
      <c r="AB35" s="766"/>
      <c r="AD35" s="357"/>
      <c r="AF35" s="766" t="s">
        <v>154</v>
      </c>
      <c r="AG35" s="766"/>
      <c r="AI35" s="237"/>
      <c r="AJ35" s="237"/>
    </row>
    <row r="36" spans="8:36" ht="13.5" x14ac:dyDescent="0.25">
      <c r="I36" s="10" t="str">
        <f>"Reserve:  "&amp;TEXT(D15-D18,"###.0")&amp;" USG"</f>
        <v>Reserve:  64.0 USG</v>
      </c>
      <c r="P36" s="358"/>
      <c r="Q36" s="370" t="s">
        <v>160</v>
      </c>
      <c r="R36" s="371"/>
      <c r="S36" s="371"/>
      <c r="T36" s="371"/>
      <c r="U36" s="482" t="s">
        <v>1</v>
      </c>
      <c r="V36" s="357"/>
      <c r="W36" s="357"/>
      <c r="X36" s="357"/>
      <c r="Y36" s="481" t="s">
        <v>56</v>
      </c>
      <c r="Z36" s="478">
        <v>2250</v>
      </c>
      <c r="AA36" s="766" t="s">
        <v>153</v>
      </c>
      <c r="AB36" s="766"/>
      <c r="AD36" s="357"/>
      <c r="AE36" s="628">
        <f>AE40</f>
        <v>33</v>
      </c>
      <c r="AF36" s="766" t="s">
        <v>153</v>
      </c>
      <c r="AG36" s="766"/>
      <c r="AI36" s="237"/>
      <c r="AJ36" s="237"/>
    </row>
    <row r="37" spans="8:36" ht="13.5" x14ac:dyDescent="0.25">
      <c r="P37" s="358"/>
      <c r="Q37" s="375" t="str">
        <f t="shared" ref="Q37:Q39" si="2">"Ln"&amp;ROW()</f>
        <v>Ln37</v>
      </c>
      <c r="R37" s="484"/>
      <c r="S37" s="400" t="s">
        <v>77</v>
      </c>
      <c r="T37" s="485"/>
      <c r="U37" s="486">
        <f>ROUNDDOWN(U8-U7,0)</f>
        <v>1060</v>
      </c>
      <c r="V37" s="357"/>
      <c r="W37" s="357"/>
      <c r="X37" s="357"/>
      <c r="Y37" s="481" t="s">
        <v>57</v>
      </c>
      <c r="Z37" s="82"/>
      <c r="AC37" s="767" t="s">
        <v>157</v>
      </c>
      <c r="AD37" s="357"/>
      <c r="AH37" s="767" t="s">
        <v>157</v>
      </c>
      <c r="AI37" s="237"/>
      <c r="AJ37" s="237"/>
    </row>
    <row r="38" spans="8:36" ht="13.5" x14ac:dyDescent="0.25">
      <c r="I38" s="9" t="s">
        <v>72</v>
      </c>
      <c r="P38" s="358"/>
      <c r="Q38" s="375" t="str">
        <f t="shared" si="2"/>
        <v>Ln38</v>
      </c>
      <c r="R38" s="484"/>
      <c r="S38" s="400" t="s">
        <v>76</v>
      </c>
      <c r="T38" s="485"/>
      <c r="U38" s="486">
        <f>IF(T19=0,"",U37-V19)</f>
        <v>676</v>
      </c>
      <c r="V38" s="357"/>
      <c r="W38" s="357"/>
      <c r="X38" s="357"/>
      <c r="Y38" s="481" t="s">
        <v>156</v>
      </c>
      <c r="Z38" s="82"/>
      <c r="AC38" s="767"/>
      <c r="AD38" s="357"/>
      <c r="AH38" s="767"/>
      <c r="AI38" s="237"/>
      <c r="AJ38" s="237"/>
    </row>
    <row r="39" spans="8:36" ht="13.5" x14ac:dyDescent="0.25">
      <c r="H39" s="7"/>
      <c r="I39" s="63" t="str">
        <f>IF(T42="","","Max Flight (NO Res)")</f>
        <v/>
      </c>
      <c r="P39" s="358"/>
      <c r="Q39" s="375" t="str">
        <f t="shared" si="2"/>
        <v>Ln39</v>
      </c>
      <c r="R39" s="484"/>
      <c r="S39" s="400" t="s">
        <v>78</v>
      </c>
      <c r="T39" s="487"/>
      <c r="U39" s="486">
        <f>U37-V18</f>
        <v>538</v>
      </c>
      <c r="V39" s="357"/>
      <c r="W39" s="357"/>
      <c r="X39" s="357"/>
      <c r="Y39" s="481" t="s">
        <v>47</v>
      </c>
      <c r="Z39" s="82"/>
      <c r="AC39" s="768"/>
      <c r="AD39" s="357"/>
      <c r="AH39" s="768"/>
      <c r="AI39" s="237"/>
      <c r="AJ39" s="237"/>
    </row>
    <row r="40" spans="8:36" x14ac:dyDescent="0.2">
      <c r="H40" s="7"/>
      <c r="I40" s="21" t="str">
        <f>IF(T42="","","~"&amp;TEXT(T42,("##.0"))&amp;" hrs")</f>
        <v/>
      </c>
      <c r="P40" s="358"/>
      <c r="Q40" s="357"/>
      <c r="R40" s="357"/>
      <c r="S40" s="357"/>
      <c r="T40" s="413"/>
      <c r="U40" s="413"/>
      <c r="V40" s="357"/>
      <c r="W40" s="357"/>
      <c r="X40" s="357"/>
      <c r="Y40" s="480"/>
      <c r="Z40" s="478">
        <v>1800</v>
      </c>
      <c r="AC40" s="403">
        <f>AC32</f>
        <v>2950</v>
      </c>
      <c r="AD40" s="357"/>
      <c r="AE40" s="489">
        <v>33</v>
      </c>
      <c r="AF40" s="82"/>
      <c r="AG40" s="82"/>
      <c r="AH40" s="490">
        <f>AH32</f>
        <v>46</v>
      </c>
      <c r="AI40" s="242"/>
      <c r="AJ40" s="242"/>
    </row>
    <row r="41" spans="8:36" ht="14.25" thickBot="1" x14ac:dyDescent="0.3">
      <c r="I41" s="61" t="str">
        <f>IF(T42="","","@ "&amp;TEXT(D16,"##.0")&amp;" GPH")</f>
        <v/>
      </c>
      <c r="P41" s="358"/>
      <c r="Q41" s="370" t="s">
        <v>119</v>
      </c>
      <c r="R41" s="371"/>
      <c r="S41" s="482"/>
      <c r="T41" s="488" t="s">
        <v>121</v>
      </c>
      <c r="U41" s="413"/>
      <c r="V41" s="357"/>
      <c r="W41" s="357"/>
      <c r="X41" s="357"/>
      <c r="Y41" s="494"/>
      <c r="Z41" s="495"/>
      <c r="AD41" s="357"/>
      <c r="AE41" s="496"/>
      <c r="AF41" s="769" t="s">
        <v>161</v>
      </c>
      <c r="AG41" s="769"/>
      <c r="AH41" s="497"/>
      <c r="AI41" s="237"/>
      <c r="AJ41" s="237"/>
    </row>
    <row r="42" spans="8:36" ht="13.5" thickTop="1" x14ac:dyDescent="0.2">
      <c r="I42" s="65" t="str">
        <f>IF(R52&lt;&gt;"OK","","  At end of ")</f>
        <v/>
      </c>
      <c r="P42" s="358"/>
      <c r="Q42" s="375" t="str">
        <f t="shared" ref="Q42:Q43" si="3">"Ln"&amp;ROW()</f>
        <v>Ln42</v>
      </c>
      <c r="R42" s="491" t="s">
        <v>91</v>
      </c>
      <c r="S42" s="492"/>
      <c r="T42" s="493" t="str">
        <f>IF(AND(D15&gt;0,D18&gt;0),ROUND(D15/D16,3),"")</f>
        <v/>
      </c>
      <c r="U42" s="413"/>
      <c r="V42" s="357"/>
      <c r="W42" s="357"/>
      <c r="X42" s="357"/>
      <c r="Y42" s="357"/>
      <c r="Z42" s="357"/>
      <c r="AA42" s="357"/>
      <c r="AB42" s="357"/>
      <c r="AC42" s="357"/>
      <c r="AD42" s="357"/>
      <c r="AE42" s="357"/>
      <c r="AF42" s="357"/>
      <c r="AG42" s="357"/>
      <c r="AH42" s="357"/>
      <c r="AI42" s="237"/>
      <c r="AJ42" s="237"/>
    </row>
    <row r="43" spans="8:36" ht="13.5" thickBot="1" x14ac:dyDescent="0.25">
      <c r="I43" s="66" t="str">
        <f>IF(R52&lt;&gt;"OK","",TEXT(D17,"##.0")&amp;" Hr Trip . . ")</f>
        <v/>
      </c>
      <c r="P43" s="358"/>
      <c r="Q43" s="375" t="str">
        <f t="shared" si="3"/>
        <v>Ln43</v>
      </c>
      <c r="R43" s="491" t="s">
        <v>95</v>
      </c>
      <c r="S43" s="492"/>
      <c r="T43" s="493" t="str">
        <f>IF(AND(D15&gt;0,D16&gt;0,D18&gt;0),ROUND((D15-D18)/D16,3),"")</f>
        <v/>
      </c>
      <c r="U43" s="413"/>
      <c r="V43" s="357"/>
      <c r="W43" s="357"/>
      <c r="X43" s="357"/>
      <c r="Y43" s="357"/>
      <c r="Z43" s="357"/>
      <c r="AA43" s="498" t="str">
        <f ca="1">IF(U8=U10,"OK",IF(AA44&gt;U10,"OUT","OK"))</f>
        <v>OK</v>
      </c>
      <c r="AB43" s="415" t="s">
        <v>164</v>
      </c>
      <c r="AC43" s="357"/>
      <c r="AD43" s="357"/>
      <c r="AE43" s="498" t="str">
        <f ca="1">IF(U8=U10,"OK",IF(AND(AE44&gt;=AG44,AE44&lt;=AH44),"OK","OUT"))</f>
        <v>OK</v>
      </c>
      <c r="AF43" s="357"/>
      <c r="AG43" s="357"/>
      <c r="AH43" s="357"/>
      <c r="AI43" s="237"/>
      <c r="AJ43" s="237"/>
    </row>
    <row r="44" spans="8:36" ht="14.25" thickTop="1" thickBot="1" x14ac:dyDescent="0.25">
      <c r="I44" s="62" t="str">
        <f>IF(R52&lt;&gt;"OK","","Reserve is ~ "&amp;TEXT(T43,"##.0")&amp;" Hrs")</f>
        <v/>
      </c>
      <c r="P44" s="358"/>
      <c r="Q44" s="357"/>
      <c r="R44" s="357"/>
      <c r="S44" s="357"/>
      <c r="T44" s="357"/>
      <c r="U44" s="357"/>
      <c r="V44" s="357"/>
      <c r="W44" s="357"/>
      <c r="X44" s="357"/>
      <c r="Y44" s="416" t="s">
        <v>53</v>
      </c>
      <c r="Z44" s="417" t="s">
        <v>1</v>
      </c>
      <c r="AA44" s="499">
        <f ca="1">J19</f>
        <v>2413.06</v>
      </c>
      <c r="AB44" s="419"/>
      <c r="AC44" s="420"/>
      <c r="AD44" s="500" t="s">
        <v>40</v>
      </c>
      <c r="AE44" s="499">
        <f ca="1">K20</f>
        <v>40.770830397917997</v>
      </c>
      <c r="AF44" s="423" t="s">
        <v>61</v>
      </c>
      <c r="AG44" s="501">
        <f ca="1">VLOOKUP(AA44,Z47:AH50,8)</f>
        <v>33.978360000000002</v>
      </c>
      <c r="AH44" s="502">
        <f ca="1">VLOOKUP(AA44,Z47:AH50,9)</f>
        <v>46</v>
      </c>
      <c r="AI44" s="237"/>
      <c r="AJ44" s="237"/>
    </row>
    <row r="45" spans="8:36" ht="13.5" thickTop="1" x14ac:dyDescent="0.2">
      <c r="I45" s="64" t="str">
        <f>IF(R52&lt;&gt;"OK","",IF(R53&lt;&gt;"OK","Caution: &lt; 1 HR",""))</f>
        <v/>
      </c>
      <c r="P45" s="358"/>
      <c r="Q45" s="370" t="s">
        <v>175</v>
      </c>
      <c r="R45" s="371"/>
      <c r="S45" s="482"/>
      <c r="T45" s="482"/>
      <c r="U45" s="357"/>
      <c r="V45" s="357"/>
      <c r="W45" s="357"/>
      <c r="X45" s="357"/>
      <c r="Y45" s="426" t="s">
        <v>48</v>
      </c>
      <c r="Z45" s="427"/>
      <c r="AA45" s="428" t="s">
        <v>67</v>
      </c>
      <c r="AB45" s="429"/>
      <c r="AC45" s="430"/>
      <c r="AD45" s="427"/>
      <c r="AE45" s="431" t="s">
        <v>66</v>
      </c>
      <c r="AF45" s="427"/>
      <c r="AG45" s="432" t="s">
        <v>46</v>
      </c>
      <c r="AH45" s="433" t="s">
        <v>46</v>
      </c>
      <c r="AI45" s="237"/>
      <c r="AJ45" s="237"/>
    </row>
    <row r="46" spans="8:36" ht="13.5" thickBot="1" x14ac:dyDescent="0.25">
      <c r="P46" s="358"/>
      <c r="Q46" s="375" t="str">
        <f t="shared" ref="Q46:Q53" si="4">"Ln"&amp;ROW()</f>
        <v>Ln46</v>
      </c>
      <c r="R46" s="503" t="str">
        <f>IF(AND(C7="",(E7+C9+E9)&gt;0),"WARN","OK")</f>
        <v>OK</v>
      </c>
      <c r="S46" s="504" t="s">
        <v>89</v>
      </c>
      <c r="T46" s="505"/>
      <c r="U46" s="357"/>
      <c r="V46" s="357"/>
      <c r="W46" s="357"/>
      <c r="X46" s="357"/>
      <c r="Y46" s="426" t="s">
        <v>54</v>
      </c>
      <c r="Z46" s="434" t="s">
        <v>41</v>
      </c>
      <c r="AA46" s="434" t="s">
        <v>42</v>
      </c>
      <c r="AB46" s="435" t="s">
        <v>43</v>
      </c>
      <c r="AC46" s="436" t="s">
        <v>41</v>
      </c>
      <c r="AD46" s="437" t="s">
        <v>42</v>
      </c>
      <c r="AE46" s="438" t="s">
        <v>44</v>
      </c>
      <c r="AF46" s="439" t="s">
        <v>45</v>
      </c>
      <c r="AG46" s="440" t="s">
        <v>68</v>
      </c>
      <c r="AH46" s="441" t="s">
        <v>69</v>
      </c>
      <c r="AI46" s="237"/>
      <c r="AJ46" s="237"/>
    </row>
    <row r="47" spans="8:36" ht="13.5" thickTop="1" x14ac:dyDescent="0.2">
      <c r="P47" s="358"/>
      <c r="Q47" s="375" t="str">
        <f t="shared" si="4"/>
        <v>Ln47</v>
      </c>
      <c r="R47" s="503" t="str">
        <f>IF(C7+E7+C9+E9&gt;0,"INFO","OK")</f>
        <v>OK</v>
      </c>
      <c r="S47" s="504" t="s">
        <v>92</v>
      </c>
      <c r="T47" s="505"/>
      <c r="U47" s="357"/>
      <c r="V47" s="357"/>
      <c r="W47" s="357"/>
      <c r="X47" s="357"/>
      <c r="Y47" s="426" t="s">
        <v>55</v>
      </c>
      <c r="Z47" s="442">
        <f>Z40</f>
        <v>1800</v>
      </c>
      <c r="AA47" s="443">
        <f>Z36</f>
        <v>2250</v>
      </c>
      <c r="AB47" s="444">
        <f>+AA47-Z47</f>
        <v>450</v>
      </c>
      <c r="AC47" s="445">
        <f>AE40</f>
        <v>33</v>
      </c>
      <c r="AD47" s="446">
        <f>AE36</f>
        <v>33</v>
      </c>
      <c r="AE47" s="447">
        <f>AD47-AC47</f>
        <v>0</v>
      </c>
      <c r="AF47" s="448">
        <f>IF(OR(AB47=0,AE47=0),0,ROUND(AE47/AB47,5))</f>
        <v>0</v>
      </c>
      <c r="AG47" s="449">
        <f ca="1">IF(AND(AA44&gt;=Z47,AA44&lt;AA47),AC47+((AA44-Z47)*AF47),AC47)</f>
        <v>33</v>
      </c>
      <c r="AH47" s="450">
        <f>AD50</f>
        <v>46</v>
      </c>
      <c r="AI47" s="237"/>
      <c r="AJ47" s="237"/>
    </row>
    <row r="48" spans="8:36" x14ac:dyDescent="0.2">
      <c r="P48" s="358"/>
      <c r="Q48" s="375" t="str">
        <f t="shared" si="4"/>
        <v>Ln48</v>
      </c>
      <c r="R48" s="503" t="str">
        <f>IF(AND(C7&gt;0,D15=0),"WARN","OK")</f>
        <v>OK</v>
      </c>
      <c r="S48" s="506" t="s">
        <v>111</v>
      </c>
      <c r="T48" s="507"/>
      <c r="U48" s="357"/>
      <c r="V48" s="357"/>
      <c r="W48" s="357"/>
      <c r="X48" s="357"/>
      <c r="Y48" s="426" t="s">
        <v>56</v>
      </c>
      <c r="Z48" s="451">
        <f>AA47</f>
        <v>2250</v>
      </c>
      <c r="AA48" s="452">
        <f>Z34</f>
        <v>2700</v>
      </c>
      <c r="AB48" s="453">
        <f>+AA48-Z48</f>
        <v>450</v>
      </c>
      <c r="AC48" s="454">
        <f>IF(AD48=AD47,AC47,AD47)</f>
        <v>33</v>
      </c>
      <c r="AD48" s="455">
        <f>AE34</f>
        <v>35.700000000000003</v>
      </c>
      <c r="AE48" s="447">
        <f>AD48-AC48</f>
        <v>2.7000000000000028</v>
      </c>
      <c r="AF48" s="448">
        <f>IF(OR(AB48=0,AE48=0),0,ROUND(AE48/AB48,5))</f>
        <v>6.0000000000000001E-3</v>
      </c>
      <c r="AG48" s="449">
        <f ca="1">IF(AND(AA44&gt;=Z48,AA44&lt;AA48),AC48+((AA44-Z48)*AF48),AC48)</f>
        <v>33.978360000000002</v>
      </c>
      <c r="AH48" s="213">
        <f>AH47</f>
        <v>46</v>
      </c>
      <c r="AI48" s="237"/>
      <c r="AJ48" s="237"/>
    </row>
    <row r="49" spans="8:36" x14ac:dyDescent="0.2">
      <c r="P49" s="358"/>
      <c r="Q49" s="375" t="str">
        <f t="shared" si="4"/>
        <v>Ln49</v>
      </c>
      <c r="R49" s="503" t="str">
        <f>IF(AND(C7&gt;0,D16=0),"WARN","OK")</f>
        <v>OK</v>
      </c>
      <c r="S49" s="506" t="s">
        <v>113</v>
      </c>
      <c r="T49" s="507"/>
      <c r="U49" s="357"/>
      <c r="V49" s="357"/>
      <c r="W49" s="357"/>
      <c r="X49" s="357"/>
      <c r="Y49" s="426" t="s">
        <v>54</v>
      </c>
      <c r="Z49" s="451">
        <f>AA48</f>
        <v>2700</v>
      </c>
      <c r="AA49" s="452">
        <f>AA32</f>
        <v>2950</v>
      </c>
      <c r="AB49" s="453">
        <f>+AA49-Z49</f>
        <v>250</v>
      </c>
      <c r="AC49" s="454">
        <f>IF(AD49=AD48,AC48,AD48)</f>
        <v>35.700000000000003</v>
      </c>
      <c r="AD49" s="455">
        <f>AF32</f>
        <v>39</v>
      </c>
      <c r="AE49" s="447">
        <f>AD49-AC49</f>
        <v>3.2999999999999972</v>
      </c>
      <c r="AF49" s="448">
        <f>IF(OR(AB49=0,AE49=0),0,ROUND(AE49/AB49,5))</f>
        <v>1.32E-2</v>
      </c>
      <c r="AG49" s="449">
        <f ca="1">IF(AND(AA44&gt;=Z49,AA44&lt;AA49),AC49+((AA44-Z49)*AF49),AC49)</f>
        <v>35.700000000000003</v>
      </c>
      <c r="AH49" s="213">
        <f>AH48</f>
        <v>46</v>
      </c>
      <c r="AI49" s="237"/>
      <c r="AJ49" s="237"/>
    </row>
    <row r="50" spans="8:36" ht="13.5" thickBot="1" x14ac:dyDescent="0.25">
      <c r="P50" s="358"/>
      <c r="Q50" s="375" t="str">
        <f t="shared" si="4"/>
        <v>Ln50</v>
      </c>
      <c r="R50" s="503" t="str">
        <f>IF(AND(C7&gt;0,D17=0),"WARN","OK")</f>
        <v>OK</v>
      </c>
      <c r="S50" s="506" t="s">
        <v>112</v>
      </c>
      <c r="T50" s="507"/>
      <c r="U50" s="357"/>
      <c r="V50" s="357"/>
      <c r="W50" s="357"/>
      <c r="X50" s="357"/>
      <c r="Y50" s="458" t="s">
        <v>57</v>
      </c>
      <c r="Z50" s="459">
        <f>AA49</f>
        <v>2950</v>
      </c>
      <c r="AA50" s="460">
        <f>AC32</f>
        <v>2950</v>
      </c>
      <c r="AB50" s="461">
        <f>+AA50-Z50</f>
        <v>0</v>
      </c>
      <c r="AC50" s="462">
        <f>IF(AD50=AD49,AC49,AD49)</f>
        <v>39</v>
      </c>
      <c r="AD50" s="463">
        <f>AH32</f>
        <v>46</v>
      </c>
      <c r="AE50" s="464">
        <f>AD50-AC50</f>
        <v>7</v>
      </c>
      <c r="AF50" s="465">
        <f>IF(OR(AB50=0,AE50=0),0,ROUND(AE50/AB50,5))</f>
        <v>0</v>
      </c>
      <c r="AG50" s="466">
        <f ca="1">IF(AND(AA44&gt;=Z50,AA44&lt;AA50),AC50+((AA44-Z50)*AF50),AC50)</f>
        <v>39</v>
      </c>
      <c r="AH50" s="217">
        <f>AH49</f>
        <v>46</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358"/>
      <c r="Q51" s="375" t="str">
        <f t="shared" si="4"/>
        <v>Ln51</v>
      </c>
      <c r="R51" s="503" t="str">
        <f>IF(D18&gt;D15,"ERR","OK")</f>
        <v>OK</v>
      </c>
      <c r="S51" s="506" t="s">
        <v>94</v>
      </c>
      <c r="T51" s="507"/>
      <c r="U51" s="357"/>
      <c r="V51" s="357"/>
      <c r="W51" s="357"/>
      <c r="X51" s="357"/>
      <c r="Y51" s="357"/>
      <c r="Z51" s="357"/>
      <c r="AA51" s="357"/>
      <c r="AB51" s="357"/>
      <c r="AC51" s="357"/>
      <c r="AD51" s="357"/>
      <c r="AE51" s="357"/>
      <c r="AF51" s="357"/>
      <c r="AG51" s="357"/>
      <c r="AH51" s="357"/>
      <c r="AI51" s="237"/>
      <c r="AJ51" s="237"/>
    </row>
    <row r="52" spans="8:36" x14ac:dyDescent="0.2">
      <c r="I52" s="758"/>
      <c r="J52" s="762"/>
      <c r="K52" s="762"/>
      <c r="L52" s="762"/>
      <c r="M52" s="763"/>
      <c r="P52" s="358"/>
      <c r="Q52" s="375" t="str">
        <f t="shared" si="4"/>
        <v>Ln52</v>
      </c>
      <c r="R52" s="503" t="str">
        <f>IF(OR(D15=0,D16=0,D17=0),"WARN","OK")</f>
        <v>WARN</v>
      </c>
      <c r="S52" s="506" t="s">
        <v>110</v>
      </c>
      <c r="T52" s="507"/>
      <c r="U52" s="357"/>
      <c r="V52" s="357"/>
      <c r="W52" s="357"/>
      <c r="X52" s="357"/>
      <c r="Y52" s="357"/>
      <c r="Z52" s="357"/>
      <c r="AA52" s="357"/>
      <c r="AB52" s="357"/>
      <c r="AC52" s="357"/>
      <c r="AD52" s="357"/>
      <c r="AE52" s="357"/>
      <c r="AF52" s="357"/>
      <c r="AG52" s="357"/>
      <c r="AH52" s="357"/>
      <c r="AI52" s="237"/>
      <c r="AJ52" s="237"/>
    </row>
    <row r="53" spans="8:36" ht="13.5" thickBot="1" x14ac:dyDescent="0.25">
      <c r="I53" s="759"/>
      <c r="J53" s="764"/>
      <c r="K53" s="764"/>
      <c r="L53" s="764"/>
      <c r="M53" s="765"/>
      <c r="P53" s="358"/>
      <c r="Q53" s="375" t="str">
        <f t="shared" si="4"/>
        <v>Ln53</v>
      </c>
      <c r="R53" s="503" t="str">
        <f>IF(AND(D15&gt;0,D16&gt;0,D18&gt;0,T43&lt;1),"WARN","OK")</f>
        <v>OK</v>
      </c>
      <c r="S53" s="506" t="s">
        <v>90</v>
      </c>
      <c r="T53" s="507"/>
      <c r="U53" s="357"/>
      <c r="V53" s="357"/>
      <c r="W53" s="357"/>
      <c r="X53" s="357"/>
      <c r="Y53" s="357"/>
      <c r="Z53" s="357"/>
      <c r="AA53" s="357"/>
      <c r="AB53" s="357"/>
      <c r="AC53" s="357"/>
      <c r="AD53" s="357"/>
      <c r="AE53" s="357"/>
      <c r="AF53" s="357"/>
      <c r="AG53" s="357"/>
      <c r="AH53" s="357"/>
      <c r="AI53" s="237"/>
      <c r="AJ53" s="237"/>
    </row>
    <row r="54" spans="8:36" ht="13.5" thickTop="1" x14ac:dyDescent="0.2">
      <c r="I54" s="650" t="str">
        <f>IF(C4&lt;&gt;9999,"","Env "&amp;Z23&amp;"  "&amp;AA23&amp;"  "&amp;AA24&amp;"  "&amp;AA25&amp;"  "&amp;AA26&amp;"     "&amp;AC23&amp;"  "&amp;AD23&amp;"  "&amp;AD24&amp;"  "&amp;AD25&amp;"  "&amp;AD26)</f>
        <v/>
      </c>
      <c r="P54" s="358"/>
      <c r="Q54" s="357"/>
      <c r="R54" s="357"/>
      <c r="S54" s="357"/>
      <c r="T54" s="357"/>
      <c r="U54" s="357"/>
      <c r="V54" s="357"/>
      <c r="W54" s="357"/>
      <c r="X54" s="357"/>
      <c r="Y54" s="357"/>
      <c r="Z54" s="357"/>
      <c r="AA54" s="357"/>
      <c r="AB54" s="357"/>
      <c r="AC54" s="357"/>
      <c r="AD54" s="357"/>
      <c r="AE54" s="357"/>
      <c r="AF54" s="357"/>
      <c r="AG54" s="357"/>
      <c r="AH54" s="357"/>
      <c r="AI54" s="237"/>
      <c r="AJ54" s="237"/>
    </row>
    <row r="55" spans="8:36" x14ac:dyDescent="0.2">
      <c r="I55" s="651" t="str">
        <f>IF(C4&lt;&gt;9999,"","Fuel  T "&amp;T19&amp;"   F "&amp;T18&amp;"      Load   0 "&amp;U37&amp;"  T "&amp;U38&amp;"  F "&amp;U39)</f>
        <v/>
      </c>
      <c r="P55" s="358"/>
      <c r="Q55" s="357"/>
      <c r="R55" s="357"/>
      <c r="S55" s="357"/>
      <c r="T55" s="357"/>
      <c r="U55" s="357"/>
      <c r="V55" s="357"/>
      <c r="W55" s="357"/>
      <c r="X55" s="357"/>
      <c r="Y55" s="357"/>
      <c r="Z55" s="357"/>
      <c r="AA55" s="357"/>
      <c r="AB55" s="357"/>
      <c r="AC55" s="357"/>
      <c r="AD55" s="357"/>
      <c r="AE55" s="357"/>
      <c r="AF55" s="357"/>
      <c r="AG55" s="357"/>
      <c r="AH55" s="357"/>
      <c r="AI55" s="237"/>
      <c r="AJ55" s="237"/>
    </row>
    <row r="56" spans="8:36" x14ac:dyDescent="0.2">
      <c r="P56" s="358"/>
      <c r="Q56" s="357"/>
      <c r="R56" s="357"/>
      <c r="S56" s="357"/>
      <c r="T56" s="357"/>
      <c r="U56" s="357"/>
      <c r="V56" s="357"/>
      <c r="W56" s="357"/>
      <c r="X56" s="357"/>
      <c r="Y56" s="357"/>
      <c r="Z56" s="357"/>
      <c r="AA56" s="357"/>
      <c r="AB56" s="357"/>
      <c r="AC56" s="357"/>
      <c r="AD56" s="357"/>
      <c r="AE56" s="357"/>
      <c r="AF56" s="357"/>
      <c r="AG56" s="357"/>
      <c r="AH56" s="357"/>
      <c r="AI56" s="237"/>
      <c r="AJ56" s="237"/>
    </row>
  </sheetData>
  <sheetProtection algorithmName="SHA-512" hashValue="qtEIjyYDj9EBqQDfhkPJNSxCf52MDyI0Dk4qCAOxHA2ncItvJ4QotH2rzp/3Mt9qy6Mz1NxNe7b4YWzB4rpQNg==" saltValue="Mxaqis05nAcot5rZvF4Dwg==" spinCount="100000" sheet="1" selectLockedCells="1"/>
  <mergeCells count="45">
    <mergeCell ref="C4:D4"/>
    <mergeCell ref="B1:H1"/>
    <mergeCell ref="C2:E2"/>
    <mergeCell ref="J2:K2"/>
    <mergeCell ref="D3:F3"/>
    <mergeCell ref="J3:K3"/>
    <mergeCell ref="B7:B8"/>
    <mergeCell ref="C7:D8"/>
    <mergeCell ref="E7:F8"/>
    <mergeCell ref="B9:B10"/>
    <mergeCell ref="C9:D10"/>
    <mergeCell ref="E9:F10"/>
    <mergeCell ref="C11:F11"/>
    <mergeCell ref="AA11:AB11"/>
    <mergeCell ref="AF11:AG11"/>
    <mergeCell ref="C12:F12"/>
    <mergeCell ref="AA12:AB12"/>
    <mergeCell ref="AF12:AG12"/>
    <mergeCell ref="AH13:AH15"/>
    <mergeCell ref="D15:E15"/>
    <mergeCell ref="D16:E16"/>
    <mergeCell ref="B21:B22"/>
    <mergeCell ref="C21:F22"/>
    <mergeCell ref="D17:E17"/>
    <mergeCell ref="AF17:AG17"/>
    <mergeCell ref="D18:E18"/>
    <mergeCell ref="D13:E13"/>
    <mergeCell ref="AC13:AC15"/>
    <mergeCell ref="AH37:AH39"/>
    <mergeCell ref="C25:F25"/>
    <mergeCell ref="D28:E28"/>
    <mergeCell ref="F28:H28"/>
    <mergeCell ref="D29:E29"/>
    <mergeCell ref="D30:E30"/>
    <mergeCell ref="F30:H30"/>
    <mergeCell ref="AF35:AG35"/>
    <mergeCell ref="AA36:AB36"/>
    <mergeCell ref="AF36:AG36"/>
    <mergeCell ref="AC37:AC39"/>
    <mergeCell ref="AF41:AG41"/>
    <mergeCell ref="AA35:AB35"/>
    <mergeCell ref="I51:I53"/>
    <mergeCell ref="J51:M53"/>
    <mergeCell ref="C23:F23"/>
    <mergeCell ref="C24:F24"/>
  </mergeCells>
  <conditionalFormatting sqref="T37:T38">
    <cfRule type="expression" dxfId="507" priority="31" stopIfTrue="1">
      <formula>S37=""</formula>
    </cfRule>
  </conditionalFormatting>
  <conditionalFormatting sqref="I26 I28">
    <cfRule type="expression" dxfId="506" priority="32" stopIfTrue="1">
      <formula>E7=""</formula>
    </cfRule>
  </conditionalFormatting>
  <conditionalFormatting sqref="I27 I29:I30">
    <cfRule type="expression" dxfId="505" priority="33" stopIfTrue="1">
      <formula>C9=""</formula>
    </cfRule>
  </conditionalFormatting>
  <conditionalFormatting sqref="U37:U39 V19">
    <cfRule type="expression" dxfId="504" priority="35" stopIfTrue="1">
      <formula>S19=""</formula>
    </cfRule>
  </conditionalFormatting>
  <conditionalFormatting sqref="C25">
    <cfRule type="expression" dxfId="503" priority="36" stopIfTrue="1">
      <formula>AND(C7="",E7+C9+E9&gt;0)</formula>
    </cfRule>
  </conditionalFormatting>
  <conditionalFormatting sqref="B30">
    <cfRule type="expression" dxfId="502" priority="37" stopIfTrue="1">
      <formula>D29&gt;D28</formula>
    </cfRule>
  </conditionalFormatting>
  <conditionalFormatting sqref="D30:E30">
    <cfRule type="expression" dxfId="501" priority="38" stopIfTrue="1">
      <formula>D29&gt;D28</formula>
    </cfRule>
  </conditionalFormatting>
  <conditionalFormatting sqref="F30:H30">
    <cfRule type="expression" dxfId="500" priority="39" stopIfTrue="1">
      <formula>D29&gt;D28</formula>
    </cfRule>
  </conditionalFormatting>
  <conditionalFormatting sqref="B23 B25">
    <cfRule type="cellIs" dxfId="499" priority="40" stopIfTrue="1" operator="notEqual">
      <formula>""</formula>
    </cfRule>
  </conditionalFormatting>
  <conditionalFormatting sqref="B24">
    <cfRule type="cellIs" dxfId="498" priority="42" stopIfTrue="1" operator="notEqual">
      <formula>""</formula>
    </cfRule>
  </conditionalFormatting>
  <conditionalFormatting sqref="R46:R53 R8 R10 R29:R30 R33">
    <cfRule type="cellIs" dxfId="497" priority="43" stopIfTrue="1" operator="notEqual">
      <formula>""</formula>
    </cfRule>
  </conditionalFormatting>
  <conditionalFormatting sqref="S37:S39">
    <cfRule type="expression" dxfId="496" priority="44" stopIfTrue="1">
      <formula>S37=""</formula>
    </cfRule>
  </conditionalFormatting>
  <conditionalFormatting sqref="R18">
    <cfRule type="cellIs" dxfId="495" priority="45" stopIfTrue="1" operator="notEqual">
      <formula>""</formula>
    </cfRule>
  </conditionalFormatting>
  <conditionalFormatting sqref="J5">
    <cfRule type="expression" dxfId="494" priority="46" stopIfTrue="1">
      <formula>expired=TRUE</formula>
    </cfRule>
  </conditionalFormatting>
  <conditionalFormatting sqref="B1:H1">
    <cfRule type="expression" dxfId="493" priority="47" stopIfTrue="1">
      <formula>expired=TRUE</formula>
    </cfRule>
    <cfRule type="expression" dxfId="492" priority="48" stopIfTrue="1">
      <formula>old_ver=TRUE</formula>
    </cfRule>
  </conditionalFormatting>
  <conditionalFormatting sqref="I3">
    <cfRule type="expression" dxfId="491" priority="49" stopIfTrue="1">
      <formula>D3=""</formula>
    </cfRule>
  </conditionalFormatting>
  <conditionalFormatting sqref="J2">
    <cfRule type="expression" dxfId="490" priority="50" stopIfTrue="1">
      <formula>D3=""</formula>
    </cfRule>
  </conditionalFormatting>
  <conditionalFormatting sqref="L2">
    <cfRule type="expression" dxfId="489" priority="51" stopIfTrue="1">
      <formula>D3=""</formula>
    </cfRule>
  </conditionalFormatting>
  <conditionalFormatting sqref="L3">
    <cfRule type="expression" dxfId="488" priority="52" stopIfTrue="1">
      <formula>D3=""</formula>
    </cfRule>
  </conditionalFormatting>
  <conditionalFormatting sqref="J3:K3">
    <cfRule type="expression" dxfId="487" priority="53" stopIfTrue="1">
      <formula>D3=""</formula>
    </cfRule>
  </conditionalFormatting>
  <conditionalFormatting sqref="I2">
    <cfRule type="expression" dxfId="486" priority="54" stopIfTrue="1">
      <formula>AND(D3="",C2="")</formula>
    </cfRule>
  </conditionalFormatting>
  <conditionalFormatting sqref="V21">
    <cfRule type="expression" dxfId="485" priority="29" stopIfTrue="1">
      <formula>T21=""</formula>
    </cfRule>
  </conditionalFormatting>
  <conditionalFormatting sqref="E21:E22">
    <cfRule type="expression" dxfId="484" priority="55" stopIfTrue="1">
      <formula>OR(AC19="out",AF19="out")</formula>
    </cfRule>
  </conditionalFormatting>
  <conditionalFormatting sqref="M17">
    <cfRule type="expression" dxfId="483" priority="56" stopIfTrue="1">
      <formula>AE19="out"</formula>
    </cfRule>
  </conditionalFormatting>
  <conditionalFormatting sqref="K17">
    <cfRule type="expression" dxfId="482" priority="57" stopIfTrue="1">
      <formula>AE19&lt;&gt;"OK"</formula>
    </cfRule>
  </conditionalFormatting>
  <conditionalFormatting sqref="F21:F22">
    <cfRule type="expression" dxfId="481" priority="58" stopIfTrue="1">
      <formula>OR(AE19="out",AG19="out")</formula>
    </cfRule>
  </conditionalFormatting>
  <conditionalFormatting sqref="C21:C22">
    <cfRule type="expression" dxfId="480" priority="59" stopIfTrue="1">
      <formula>OR(AA19="out",AE19="out")</formula>
    </cfRule>
  </conditionalFormatting>
  <conditionalFormatting sqref="D21:D22">
    <cfRule type="expression" dxfId="479" priority="60" stopIfTrue="1">
      <formula>OR(AB19="out",#REF!="out")</formula>
    </cfRule>
  </conditionalFormatting>
  <conditionalFormatting sqref="K20">
    <cfRule type="expression" dxfId="478" priority="61" stopIfTrue="1">
      <formula>AE43&lt;&gt;"OK"</formula>
    </cfRule>
  </conditionalFormatting>
  <conditionalFormatting sqref="J16">
    <cfRule type="expression" dxfId="477" priority="62" stopIfTrue="1">
      <formula>R8&lt;&gt;"OK"</formula>
    </cfRule>
  </conditionalFormatting>
  <conditionalFormatting sqref="J19">
    <cfRule type="expression" dxfId="476" priority="63" stopIfTrue="1">
      <formula>R10&lt;&gt;"OK"</formula>
    </cfRule>
  </conditionalFormatting>
  <conditionalFormatting sqref="B21">
    <cfRule type="expression" dxfId="475" priority="64" stopIfTrue="1">
      <formula>R10&lt;&gt;"OK"</formula>
    </cfRule>
    <cfRule type="expression" dxfId="474" priority="65" stopIfTrue="1">
      <formula>R11&lt;&gt;"OK"</formula>
    </cfRule>
  </conditionalFormatting>
  <conditionalFormatting sqref="V27">
    <cfRule type="expression" dxfId="473" priority="27" stopIfTrue="1">
      <formula>T27=""</formula>
    </cfRule>
  </conditionalFormatting>
  <conditionalFormatting sqref="V26">
    <cfRule type="expression" dxfId="472" priority="28" stopIfTrue="1">
      <formula>S26=""</formula>
    </cfRule>
  </conditionalFormatting>
  <conditionalFormatting sqref="D15:E15">
    <cfRule type="expression" dxfId="471" priority="66" stopIfTrue="1">
      <formula>R18="err"</formula>
    </cfRule>
  </conditionalFormatting>
  <conditionalFormatting sqref="F23">
    <cfRule type="expression" dxfId="470" priority="67" stopIfTrue="1">
      <formula>#REF!&lt;&gt;"OK"</formula>
    </cfRule>
  </conditionalFormatting>
  <conditionalFormatting sqref="M16">
    <cfRule type="expression" dxfId="469" priority="68" stopIfTrue="1">
      <formula>J16&gt;U8</formula>
    </cfRule>
  </conditionalFormatting>
  <conditionalFormatting sqref="V18">
    <cfRule type="expression" dxfId="468" priority="69" stopIfTrue="1">
      <formula>S18=""</formula>
    </cfRule>
  </conditionalFormatting>
  <conditionalFormatting sqref="R31">
    <cfRule type="cellIs" dxfId="467" priority="24" stopIfTrue="1" operator="notEqual">
      <formula>""</formula>
    </cfRule>
  </conditionalFormatting>
  <conditionalFormatting sqref="R34">
    <cfRule type="cellIs" dxfId="466" priority="23" stopIfTrue="1" operator="notEqual">
      <formula>""</formula>
    </cfRule>
  </conditionalFormatting>
  <conditionalFormatting sqref="R32">
    <cfRule type="cellIs" dxfId="465" priority="22" stopIfTrue="1" operator="notEqual">
      <formula>""</formula>
    </cfRule>
  </conditionalFormatting>
  <conditionalFormatting sqref="B22">
    <cfRule type="expression" dxfId="464" priority="1226" stopIfTrue="1">
      <formula>R11&lt;&gt;"OK"</formula>
    </cfRule>
    <cfRule type="expression" dxfId="463" priority="1227" stopIfTrue="1">
      <formula>R29&lt;&gt;"OK"</formula>
    </cfRule>
  </conditionalFormatting>
  <conditionalFormatting sqref="C12">
    <cfRule type="expression" dxfId="462" priority="1228" stopIfTrue="1">
      <formula>R30="ERR"</formula>
    </cfRule>
  </conditionalFormatting>
  <conditionalFormatting sqref="C11">
    <cfRule type="expression" dxfId="461" priority="1229" stopIfTrue="1">
      <formula>R29="ERR"</formula>
    </cfRule>
  </conditionalFormatting>
  <conditionalFormatting sqref="C23:E23">
    <cfRule type="expression" dxfId="460" priority="1230" stopIfTrue="1">
      <formula>R53&lt;&gt;"OK"</formula>
    </cfRule>
  </conditionalFormatting>
  <conditionalFormatting sqref="C7:D8">
    <cfRule type="expression" dxfId="459" priority="1231" stopIfTrue="1">
      <formula>R46&lt;&gt;"OK"</formula>
    </cfRule>
  </conditionalFormatting>
  <conditionalFormatting sqref="D18:E18">
    <cfRule type="expression" dxfId="458" priority="1232" stopIfTrue="1">
      <formula>R51&lt;&gt;"OK"</formula>
    </cfRule>
  </conditionalFormatting>
  <conditionalFormatting sqref="B18 B20">
    <cfRule type="expression" dxfId="457" priority="1233" stopIfTrue="1">
      <formula>R51&lt;&gt;"OK"</formula>
    </cfRule>
  </conditionalFormatting>
  <conditionalFormatting sqref="D19">
    <cfRule type="expression" dxfId="456" priority="1235" stopIfTrue="1">
      <formula>R53&lt;&gt;"ok"</formula>
    </cfRule>
  </conditionalFormatting>
  <conditionalFormatting sqref="D13:E13">
    <cfRule type="expression" dxfId="455" priority="1236">
      <formula>AND(R34="ERR",D13&lt;&gt;0)</formula>
    </cfRule>
    <cfRule type="expression" dxfId="454" priority="1237" stopIfTrue="1">
      <formula>R31="ERR"</formula>
    </cfRule>
  </conditionalFormatting>
  <conditionalFormatting sqref="C12:F12">
    <cfRule type="expression" dxfId="453" priority="1238" stopIfTrue="1">
      <formula>AND(C12&lt;&gt;0,R33="ERR")</formula>
    </cfRule>
    <cfRule type="expression" dxfId="452" priority="1239" stopIfTrue="1">
      <formula>AND(R34="ERR",C12&lt;&gt;0)</formula>
    </cfRule>
  </conditionalFormatting>
  <conditionalFormatting sqref="C11:F11">
    <cfRule type="expression" dxfId="451" priority="1240" stopIfTrue="1">
      <formula>R33="ERR"</formula>
    </cfRule>
    <cfRule type="expression" dxfId="450" priority="1241" stopIfTrue="1">
      <formula>R32="ERR"</formula>
    </cfRule>
  </conditionalFormatting>
  <conditionalFormatting sqref="S21">
    <cfRule type="expression" dxfId="449" priority="13" stopIfTrue="1">
      <formula>T21=""</formula>
    </cfRule>
  </conditionalFormatting>
  <conditionalFormatting sqref="S22:S23">
    <cfRule type="expression" dxfId="448" priority="12" stopIfTrue="1">
      <formula>S22=""</formula>
    </cfRule>
  </conditionalFormatting>
  <conditionalFormatting sqref="S20">
    <cfRule type="expression" dxfId="447" priority="10">
      <formula>AND(OR(T20="",LEFT(T20,1)="F"),T18&lt;&gt;T19)</formula>
    </cfRule>
    <cfRule type="expression" dxfId="446" priority="11">
      <formula>AND(LEFT(T20,1)&lt;&gt;"F",T18=T19)</formula>
    </cfRule>
  </conditionalFormatting>
  <conditionalFormatting sqref="R20">
    <cfRule type="cellIs" dxfId="445" priority="9" stopIfTrue="1" operator="notEqual">
      <formula>""</formula>
    </cfRule>
  </conditionalFormatting>
  <conditionalFormatting sqref="V20">
    <cfRule type="expression" dxfId="444" priority="8" stopIfTrue="1">
      <formula>T20=""</formula>
    </cfRule>
  </conditionalFormatting>
  <conditionalFormatting sqref="S12:S15">
    <cfRule type="expression" dxfId="443" priority="6" stopIfTrue="1">
      <formula>S12=""</formula>
    </cfRule>
  </conditionalFormatting>
  <conditionalFormatting sqref="R11">
    <cfRule type="cellIs" dxfId="442" priority="5" stopIfTrue="1" operator="notEqual">
      <formula>""</formula>
    </cfRule>
  </conditionalFormatting>
  <conditionalFormatting sqref="S19">
    <cfRule type="expression" dxfId="441" priority="3" stopIfTrue="1">
      <formula>#REF!=""</formula>
    </cfRule>
  </conditionalFormatting>
  <conditionalFormatting sqref="C24:F24">
    <cfRule type="cellIs" dxfId="440" priority="2" stopIfTrue="1" operator="notEqual">
      <formula>""</formula>
    </cfRule>
  </conditionalFormatting>
  <conditionalFormatting sqref="I4">
    <cfRule type="expression" dxfId="439" priority="1" stopIfTrue="1">
      <formula>K3&gt;K2</formula>
    </cfRule>
  </conditionalFormatting>
  <dataValidations count="3">
    <dataValidation type="date" allowBlank="1" showInputMessage="1" showErrorMessage="1" errorTitle="Input Error" error="A valid date must be entered into this cell.  Enter as  mm/dd/yy  _x000a__x000a_" sqref="C2:E2" xr:uid="{00000000-0002-0000-0C00-000000000000}">
      <formula1>36526</formula1>
      <formula2>44196</formula2>
    </dataValidation>
    <dataValidation type="custom" allowBlank="1" showInputMessage="1" showErrorMessage="1" errorTitle="Input Error" error="Entry must be a NUMERIC VALUE!" sqref="D15:E17 C7:F12" xr:uid="{00000000-0002-0000-0C00-000001000000}">
      <formula1>ISNUMBER(C7)</formula1>
    </dataValidation>
    <dataValidation type="list" showInputMessage="1" showErrorMessage="1" errorTitle="STANDARD FUELING LEVEL" error="STANDARD FUELING LEVEL MUST BE ENTERED:_x000a_TABS,_x000a_Measured,_x000a_FULL" sqref="T20" xr:uid="{00000000-0002-0000-0C00-000002000000}">
      <formula1>"TABS,Measured,FULL"</formula1>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E03BE-0971-4B88-A422-94395E892E34}">
  <sheetPr codeName="Sheet19">
    <tabColor rgb="FF0000FF"/>
    <pageSetUpPr fitToPage="1"/>
  </sheetPr>
  <dimension ref="B1:AJ56"/>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4" width="4.7109375" hidden="1" customWidth="1"/>
    <col min="15" max="15" width="4.28515625" hidden="1" customWidth="1"/>
    <col min="16" max="16" width="11.7109375" style="41" hidden="1" customWidth="1"/>
    <col min="17" max="17" width="9.7109375" style="41" hidden="1" customWidth="1"/>
    <col min="18" max="18" width="8.42578125" style="41" hidden="1" customWidth="1"/>
    <col min="19" max="19" width="19" style="41" hidden="1" customWidth="1"/>
    <col min="20" max="22" width="7.7109375" style="41" hidden="1" customWidth="1"/>
    <col min="23" max="23" width="29.42578125" style="41" hidden="1" customWidth="1"/>
    <col min="24" max="24" width="4.7109375" style="41" hidden="1" customWidth="1"/>
    <col min="25" max="25" width="3.5703125" style="41" hidden="1" customWidth="1"/>
    <col min="26" max="33" width="9.140625" style="41" hidden="1" customWidth="1"/>
    <col min="34" max="34" width="9.5703125" style="41" hidden="1" customWidth="1"/>
    <col min="35" max="36" width="9" hidden="1" customWidth="1"/>
    <col min="37" max="37" width="8.140625" customWidth="1"/>
  </cols>
  <sheetData>
    <row r="1" spans="2:36" ht="22.9" customHeight="1" thickBot="1" x14ac:dyDescent="0.25">
      <c r="B1" s="807" t="str">
        <f ca="1">status_msg</f>
        <v/>
      </c>
      <c r="C1" s="807"/>
      <c r="D1" s="807"/>
      <c r="E1" s="807"/>
      <c r="F1" s="807"/>
      <c r="G1" s="807"/>
      <c r="H1" s="807"/>
      <c r="I1" s="514" t="str">
        <f>Q1</f>
        <v xml:space="preserve">CAP </v>
      </c>
      <c r="J1" s="514" t="str">
        <f>R1</f>
        <v>Nxxx</v>
      </c>
      <c r="K1" s="515"/>
      <c r="L1" s="516" t="str">
        <f>S1</f>
        <v>(230hp C182T) Long Range Tanks</v>
      </c>
      <c r="M1" s="517"/>
      <c r="P1" s="354" t="s">
        <v>178</v>
      </c>
      <c r="Q1" s="355" t="s">
        <v>305</v>
      </c>
      <c r="R1" s="355" t="s">
        <v>306</v>
      </c>
      <c r="S1" s="356" t="s">
        <v>181</v>
      </c>
      <c r="T1" s="356"/>
      <c r="U1" s="357"/>
      <c r="V1" s="357"/>
      <c r="W1" s="357"/>
      <c r="X1" s="357"/>
      <c r="Y1" s="357"/>
      <c r="Z1" s="357"/>
      <c r="AA1" s="357"/>
      <c r="AB1" s="357"/>
      <c r="AC1" s="357"/>
      <c r="AD1" s="357"/>
      <c r="AE1" s="357"/>
      <c r="AF1" s="357"/>
      <c r="AG1" s="357"/>
      <c r="AH1" s="357"/>
      <c r="AI1" s="237"/>
      <c r="AJ1" s="237"/>
    </row>
    <row r="2" spans="2:36" ht="15" customHeight="1" thickTop="1" thickBot="1" x14ac:dyDescent="0.25">
      <c r="B2" s="137" t="s">
        <v>131</v>
      </c>
      <c r="C2" s="808"/>
      <c r="D2" s="808"/>
      <c r="E2" s="809"/>
      <c r="F2" s="142" t="str">
        <f>IF(D3="","mm/dd/yy","(if not today)")</f>
        <v>mm/dd/yy</v>
      </c>
      <c r="H2" s="523"/>
      <c r="I2" s="138" t="s">
        <v>131</v>
      </c>
      <c r="J2" s="810" t="str">
        <f>IF(C3="","","Mission Symbol")&amp;"   Mission No:"</f>
        <v xml:space="preserve">   Mission No:</v>
      </c>
      <c r="K2" s="810"/>
      <c r="L2" s="682" t="s">
        <v>130</v>
      </c>
      <c r="P2" s="358"/>
      <c r="Q2" s="359" t="s">
        <v>173</v>
      </c>
      <c r="R2" s="359" t="s">
        <v>145</v>
      </c>
      <c r="S2" s="360" t="s">
        <v>172</v>
      </c>
      <c r="T2" s="361"/>
      <c r="U2" s="357"/>
      <c r="V2" s="357"/>
      <c r="W2" s="357"/>
      <c r="X2" s="357"/>
      <c r="Y2" s="357"/>
      <c r="Z2" s="357"/>
      <c r="AA2" s="357"/>
      <c r="AB2" s="357"/>
      <c r="AC2" s="357"/>
      <c r="AD2" s="357"/>
      <c r="AE2" s="357"/>
      <c r="AF2" s="357"/>
      <c r="AG2" s="357"/>
      <c r="AH2" s="357"/>
      <c r="AI2" s="237"/>
      <c r="AJ2" s="237"/>
    </row>
    <row r="3" spans="2:36" ht="15" customHeight="1" thickTop="1" thickBot="1" x14ac:dyDescent="0.25">
      <c r="B3" s="140" t="s">
        <v>137</v>
      </c>
      <c r="C3" s="681"/>
      <c r="D3" s="811"/>
      <c r="E3" s="811"/>
      <c r="F3" s="812"/>
      <c r="I3" s="131" t="str">
        <f ca="1">IF(AND(D3="",C2=""),"",IF(C2="",TODAY(),C2))</f>
        <v/>
      </c>
      <c r="J3" s="813" t="str">
        <f>IF(C3="","",IF(D3="","",C3))&amp;"      "&amp;IF(D3="","",D3)</f>
        <v xml:space="preserve">      </v>
      </c>
      <c r="K3" s="814"/>
      <c r="L3" s="132" t="str">
        <f>IF(C4="","",C4)</f>
        <v/>
      </c>
      <c r="P3" s="362"/>
      <c r="Q3" s="363"/>
      <c r="R3" s="363"/>
      <c r="S3" s="357"/>
      <c r="T3" s="357"/>
      <c r="U3" s="357"/>
      <c r="V3" s="357"/>
      <c r="W3" s="357"/>
      <c r="X3" s="357"/>
      <c r="Y3" s="357"/>
      <c r="Z3" s="364"/>
      <c r="AA3" s="357"/>
      <c r="AB3" s="365"/>
      <c r="AC3" s="357"/>
      <c r="AD3" s="357"/>
      <c r="AE3" s="357"/>
      <c r="AF3" s="357"/>
      <c r="AG3" s="357"/>
      <c r="AH3" s="357"/>
      <c r="AI3" s="237"/>
      <c r="AJ3" s="237"/>
    </row>
    <row r="4" spans="2:36" ht="12" customHeight="1" thickTop="1" x14ac:dyDescent="0.2">
      <c r="B4" s="140" t="s">
        <v>130</v>
      </c>
      <c r="C4" s="822"/>
      <c r="D4" s="823"/>
      <c r="E4" s="140"/>
      <c r="I4" s="687" t="s">
        <v>285</v>
      </c>
      <c r="J4" s="689"/>
      <c r="K4" s="688"/>
      <c r="L4" s="688"/>
      <c r="M4" s="688"/>
      <c r="P4" s="553" t="s">
        <v>222</v>
      </c>
      <c r="Q4" s="366"/>
      <c r="R4" s="366"/>
      <c r="S4" s="357"/>
      <c r="T4" s="367" t="s">
        <v>98</v>
      </c>
      <c r="U4" s="368"/>
      <c r="V4" s="369" t="s">
        <v>99</v>
      </c>
      <c r="W4" s="357"/>
      <c r="X4" s="357"/>
      <c r="Y4" s="357"/>
      <c r="Z4" s="357"/>
      <c r="AA4" s="357"/>
      <c r="AB4" s="357"/>
      <c r="AC4" s="357"/>
      <c r="AD4" s="357"/>
      <c r="AE4" s="357"/>
      <c r="AF4" s="357"/>
      <c r="AG4" s="357"/>
      <c r="AH4" s="357"/>
      <c r="AI4" s="237"/>
      <c r="AJ4" s="237"/>
    </row>
    <row r="5" spans="2:36" ht="12" customHeight="1" x14ac:dyDescent="0.2">
      <c r="I5" s="35"/>
      <c r="J5" s="36"/>
      <c r="K5" s="36"/>
      <c r="L5" s="36"/>
      <c r="M5" s="134" t="str">
        <f>"Release ID:   "&amp;release_nbr&amp;"    "&amp;TEXT(release_date,"dd mmm yyyy  ")</f>
        <v xml:space="preserve">Release ID:   R1    21 Mar 2020  </v>
      </c>
      <c r="P5" s="362"/>
      <c r="Q5" s="357"/>
      <c r="R5" s="357"/>
      <c r="S5" s="357"/>
      <c r="T5" s="357"/>
      <c r="U5" s="357"/>
      <c r="V5" s="357"/>
      <c r="W5" s="357"/>
      <c r="X5" s="357"/>
      <c r="Y5" s="357"/>
      <c r="Z5" s="357"/>
      <c r="AA5" s="357"/>
      <c r="AB5" s="357"/>
      <c r="AC5" s="357"/>
      <c r="AD5" s="357"/>
      <c r="AE5" s="357"/>
      <c r="AF5" s="357"/>
      <c r="AG5" s="357"/>
      <c r="AH5" s="357"/>
      <c r="AI5" s="237"/>
      <c r="AJ5" s="237"/>
    </row>
    <row r="6" spans="2:36" ht="12.75" customHeight="1" thickBot="1" x14ac:dyDescent="0.35">
      <c r="B6" s="3" t="s">
        <v>31</v>
      </c>
      <c r="I6" s="37" t="s">
        <v>0</v>
      </c>
      <c r="J6" s="38" t="s">
        <v>1</v>
      </c>
      <c r="K6" s="38" t="s">
        <v>2</v>
      </c>
      <c r="L6" s="39" t="s">
        <v>97</v>
      </c>
      <c r="M6" s="133" t="s">
        <v>3</v>
      </c>
      <c r="P6" s="362"/>
      <c r="Q6" s="370" t="s">
        <v>120</v>
      </c>
      <c r="R6" s="371"/>
      <c r="S6" s="371"/>
      <c r="T6" s="371"/>
      <c r="U6" s="372" t="s">
        <v>1</v>
      </c>
      <c r="V6" s="372" t="s">
        <v>2</v>
      </c>
      <c r="W6" s="373" t="s">
        <v>179</v>
      </c>
      <c r="X6" s="357"/>
      <c r="Y6" s="357"/>
      <c r="Z6" s="357"/>
      <c r="AA6" s="357"/>
      <c r="AB6" s="374" t="s">
        <v>163</v>
      </c>
      <c r="AC6" s="371"/>
      <c r="AD6" s="371"/>
      <c r="AE6" s="371"/>
      <c r="AF6" s="371"/>
      <c r="AG6" s="371"/>
      <c r="AH6" s="357"/>
      <c r="AI6" s="237"/>
      <c r="AJ6" s="237"/>
    </row>
    <row r="7" spans="2:36" ht="15" customHeight="1" thickTop="1" thickBot="1" x14ac:dyDescent="0.25">
      <c r="B7" s="803" t="s">
        <v>32</v>
      </c>
      <c r="C7" s="802"/>
      <c r="D7" s="804"/>
      <c r="E7" s="802"/>
      <c r="F7" s="800"/>
      <c r="H7" s="1"/>
      <c r="I7" s="13" t="s">
        <v>4</v>
      </c>
      <c r="J7" s="188">
        <f>U7</f>
        <v>2034.8</v>
      </c>
      <c r="K7" s="67">
        <f>V7</f>
        <v>39.5</v>
      </c>
      <c r="L7" s="68">
        <f>ROUND(J7*K7/1000,5)</f>
        <v>80.374600000000001</v>
      </c>
      <c r="M7" s="586" t="str">
        <f>IF(W7="","",W7)</f>
        <v>W/B: 15-DEC-2010 Cessna Factory</v>
      </c>
      <c r="P7" s="362"/>
      <c r="Q7" s="375" t="str">
        <f>"Ln"&amp;ROW()</f>
        <v>Ln7</v>
      </c>
      <c r="R7" s="376"/>
      <c r="S7" s="377" t="s">
        <v>4</v>
      </c>
      <c r="T7" s="378"/>
      <c r="U7" s="379">
        <v>2034.8</v>
      </c>
      <c r="V7" s="380">
        <v>39.5</v>
      </c>
      <c r="W7" s="381" t="s">
        <v>296</v>
      </c>
      <c r="X7" s="357"/>
      <c r="Y7" s="357"/>
      <c r="Z7" s="357"/>
      <c r="AA7" s="357"/>
      <c r="AB7" s="357"/>
      <c r="AC7" s="382"/>
      <c r="AD7" s="383" t="s">
        <v>162</v>
      </c>
      <c r="AE7" s="357"/>
      <c r="AF7" s="357"/>
      <c r="AG7" s="357"/>
      <c r="AH7" s="357"/>
      <c r="AI7" s="237"/>
      <c r="AJ7" s="237"/>
    </row>
    <row r="8" spans="2:36" ht="15" customHeight="1" thickTop="1" thickBot="1" x14ac:dyDescent="0.25">
      <c r="B8" s="803"/>
      <c r="C8" s="802"/>
      <c r="D8" s="804"/>
      <c r="E8" s="802"/>
      <c r="F8" s="800"/>
      <c r="H8" s="1"/>
      <c r="I8" s="125" t="s">
        <v>10</v>
      </c>
      <c r="J8" s="189">
        <f>D15*6</f>
        <v>384</v>
      </c>
      <c r="K8" s="69">
        <f>U18</f>
        <v>46.5</v>
      </c>
      <c r="L8" s="72">
        <f t="shared" ref="L8:L13" si="0">ROUND((J8*K8)/1000,5)</f>
        <v>17.856000000000002</v>
      </c>
      <c r="M8" s="11" t="str">
        <f>V18&amp;" lbs Max ("&amp;T18&amp;" gals)  "&amp;IF(OR(T18=T19,T19="",T19=0),"",V19&amp;" lbs Tabs ("&amp;T19&amp;" gals)")</f>
        <v>522 lbs Max (87 gals)  384 lbs Tabs (64 gals)</v>
      </c>
      <c r="P8" s="362"/>
      <c r="Q8" s="375" t="str">
        <f t="shared" ref="Q8:Q34" si="1">"Ln"&amp;ROW()</f>
        <v>Ln8</v>
      </c>
      <c r="R8" s="384" t="str">
        <f ca="1">IF(J16&gt;U8,"ERR","OK")</f>
        <v>OK</v>
      </c>
      <c r="S8" s="377" t="s">
        <v>168</v>
      </c>
      <c r="T8" s="378"/>
      <c r="U8" s="385">
        <v>3100</v>
      </c>
      <c r="V8" s="357"/>
      <c r="W8" s="357"/>
      <c r="X8" s="357"/>
      <c r="Y8" s="386"/>
      <c r="Z8" s="387"/>
      <c r="AA8" s="388">
        <v>3100</v>
      </c>
      <c r="AC8" s="624">
        <f>AA8</f>
        <v>3100</v>
      </c>
      <c r="AD8" s="357"/>
      <c r="AF8" s="389">
        <v>40.9</v>
      </c>
      <c r="AH8" s="390">
        <v>46</v>
      </c>
      <c r="AI8" s="237"/>
      <c r="AJ8" s="237"/>
    </row>
    <row r="9" spans="2:36" ht="15" customHeight="1" thickTop="1" thickBot="1" x14ac:dyDescent="0.25">
      <c r="B9" s="803" t="s">
        <v>33</v>
      </c>
      <c r="C9" s="802"/>
      <c r="D9" s="804"/>
      <c r="E9" s="802"/>
      <c r="F9" s="800"/>
      <c r="H9" s="1"/>
      <c r="I9" s="125" t="s">
        <v>11</v>
      </c>
      <c r="J9" s="189">
        <f>C7+E7</f>
        <v>0</v>
      </c>
      <c r="K9" s="69">
        <f>U26</f>
        <v>37</v>
      </c>
      <c r="L9" s="72">
        <f t="shared" si="0"/>
        <v>0</v>
      </c>
      <c r="M9" s="11" t="str">
        <f>IF(W26="","",W26)</f>
        <v/>
      </c>
      <c r="P9" s="362"/>
      <c r="Q9" s="375" t="str">
        <f t="shared" si="1"/>
        <v>Ln9</v>
      </c>
      <c r="R9" s="391"/>
      <c r="S9" s="377" t="s">
        <v>169</v>
      </c>
      <c r="T9" s="378"/>
      <c r="U9" s="385">
        <v>3110</v>
      </c>
      <c r="V9" s="392"/>
      <c r="W9" s="393" t="s">
        <v>176</v>
      </c>
      <c r="X9" s="357"/>
      <c r="Y9" s="394"/>
      <c r="Z9" s="395"/>
      <c r="AD9" s="357"/>
      <c r="AI9" s="237"/>
      <c r="AJ9" s="237"/>
    </row>
    <row r="10" spans="2:36" ht="15" customHeight="1" thickTop="1" thickBot="1" x14ac:dyDescent="0.3">
      <c r="B10" s="803"/>
      <c r="C10" s="802"/>
      <c r="D10" s="804"/>
      <c r="E10" s="802"/>
      <c r="F10" s="800"/>
      <c r="H10" s="1"/>
      <c r="I10" s="125" t="s">
        <v>12</v>
      </c>
      <c r="J10" s="189">
        <f>C9+E9</f>
        <v>0</v>
      </c>
      <c r="K10" s="69">
        <f>U27</f>
        <v>74</v>
      </c>
      <c r="L10" s="72">
        <f t="shared" si="0"/>
        <v>0</v>
      </c>
      <c r="M10" s="11" t="str">
        <f>IF(W27="","",W27)</f>
        <v/>
      </c>
      <c r="P10" s="362"/>
      <c r="Q10" s="375" t="str">
        <f t="shared" si="1"/>
        <v>Ln10</v>
      </c>
      <c r="R10" s="384" t="str">
        <f>IF(U8=U10,"OK",IF(J20&gt;U10,"WARN","OK"))</f>
        <v>OK</v>
      </c>
      <c r="S10" s="377" t="s">
        <v>170</v>
      </c>
      <c r="T10" s="378"/>
      <c r="U10" s="385">
        <v>2950</v>
      </c>
      <c r="V10" s="392"/>
      <c r="W10" s="393" t="s">
        <v>176</v>
      </c>
      <c r="X10" s="357"/>
      <c r="Y10" s="396" t="s">
        <v>155</v>
      </c>
      <c r="Z10" s="388">
        <v>2700</v>
      </c>
      <c r="AD10" s="357"/>
      <c r="AE10" s="389">
        <v>35.5</v>
      </c>
      <c r="AI10" s="237"/>
      <c r="AJ10" s="237"/>
    </row>
    <row r="11" spans="2:36" ht="15" customHeight="1" thickTop="1" thickBot="1" x14ac:dyDescent="0.3">
      <c r="B11" s="6" t="s">
        <v>25</v>
      </c>
      <c r="C11" s="800"/>
      <c r="D11" s="801"/>
      <c r="E11" s="801"/>
      <c r="F11" s="802"/>
      <c r="H11" s="1"/>
      <c r="I11" s="19" t="s">
        <v>13</v>
      </c>
      <c r="J11" s="189">
        <f>C11</f>
        <v>0</v>
      </c>
      <c r="K11" s="69">
        <f>U29</f>
        <v>97</v>
      </c>
      <c r="L11" s="72">
        <f t="shared" si="0"/>
        <v>0</v>
      </c>
      <c r="M11" s="11" t="str">
        <f>V29&amp;" lbs max ("&amp;V32&amp;" max baggage 1+2+3)"</f>
        <v>120 lbs max (200 max baggage 1+2+3)</v>
      </c>
      <c r="P11" s="362"/>
      <c r="Q11" s="375" t="str">
        <f t="shared" si="1"/>
        <v>Ln11</v>
      </c>
      <c r="R11" s="384" t="str">
        <f ca="1">IF(U8=U10,"OK",IF(J19&gt;U11,"WARN","OK"))</f>
        <v>OK</v>
      </c>
      <c r="S11" s="397" t="s">
        <v>171</v>
      </c>
      <c r="T11" s="398"/>
      <c r="U11" s="399">
        <f>U10</f>
        <v>2950</v>
      </c>
      <c r="V11" s="357"/>
      <c r="W11" s="357"/>
      <c r="X11" s="357"/>
      <c r="Y11" s="396" t="s">
        <v>50</v>
      </c>
      <c r="Z11" s="395"/>
      <c r="AA11" s="766" t="s">
        <v>1</v>
      </c>
      <c r="AB11" s="766"/>
      <c r="AD11" s="357"/>
      <c r="AF11" s="766" t="s">
        <v>154</v>
      </c>
      <c r="AG11" s="766"/>
      <c r="AI11" s="237"/>
      <c r="AJ11" s="237"/>
    </row>
    <row r="12" spans="2:36" ht="15" customHeight="1" thickTop="1" thickBot="1" x14ac:dyDescent="0.3">
      <c r="B12" s="6" t="s">
        <v>26</v>
      </c>
      <c r="C12" s="800"/>
      <c r="D12" s="801"/>
      <c r="E12" s="801"/>
      <c r="F12" s="802"/>
      <c r="H12" s="1"/>
      <c r="I12" s="19" t="s">
        <v>14</v>
      </c>
      <c r="J12" s="189">
        <f>C12</f>
        <v>0</v>
      </c>
      <c r="K12" s="69">
        <f>U30</f>
        <v>116</v>
      </c>
      <c r="L12" s="72">
        <f t="shared" si="0"/>
        <v>0</v>
      </c>
      <c r="M12" s="11" t="str">
        <f>V30&amp;" lbs max  ("&amp;V34&amp;" max baggage 2+3)"</f>
        <v>80 lbs max  (80 max baggage 2+3)</v>
      </c>
      <c r="P12" s="362"/>
      <c r="Q12" s="375" t="str">
        <f t="shared" si="1"/>
        <v>Ln12</v>
      </c>
      <c r="R12" s="391"/>
      <c r="S12" s="400" t="s">
        <v>7</v>
      </c>
      <c r="T12" s="391"/>
      <c r="U12" s="391"/>
      <c r="V12" s="392"/>
      <c r="W12" s="393" t="s">
        <v>176</v>
      </c>
      <c r="X12" s="357"/>
      <c r="Y12" s="396" t="s">
        <v>56</v>
      </c>
      <c r="Z12" s="388">
        <v>2250</v>
      </c>
      <c r="AA12" s="766" t="s">
        <v>153</v>
      </c>
      <c r="AB12" s="766"/>
      <c r="AD12" s="357"/>
      <c r="AE12" s="623">
        <f>AE16</f>
        <v>33</v>
      </c>
      <c r="AF12" s="766" t="s">
        <v>153</v>
      </c>
      <c r="AG12" s="766"/>
      <c r="AI12" s="237"/>
      <c r="AJ12" s="237"/>
    </row>
    <row r="13" spans="2:36" ht="15" customHeight="1" thickTop="1" x14ac:dyDescent="0.25">
      <c r="B13" s="508" t="s">
        <v>70</v>
      </c>
      <c r="D13" s="821"/>
      <c r="E13" s="821"/>
      <c r="H13" s="1"/>
      <c r="I13" s="19" t="s">
        <v>17</v>
      </c>
      <c r="J13" s="189">
        <f>D13</f>
        <v>0</v>
      </c>
      <c r="K13" s="69">
        <f>U31</f>
        <v>129</v>
      </c>
      <c r="L13" s="72">
        <f t="shared" si="0"/>
        <v>0</v>
      </c>
      <c r="M13" s="513" t="str">
        <f>V31&amp;" Lbs Max (on shelf)"</f>
        <v>80 Lbs Max (on shelf)</v>
      </c>
      <c r="P13" s="362"/>
      <c r="Q13" s="375" t="str">
        <f t="shared" si="1"/>
        <v>Ln13</v>
      </c>
      <c r="R13" s="391"/>
      <c r="S13" s="400" t="s">
        <v>194</v>
      </c>
      <c r="T13" s="391"/>
      <c r="U13" s="391"/>
      <c r="V13" s="392"/>
      <c r="W13" s="393" t="s">
        <v>176</v>
      </c>
      <c r="X13" s="357"/>
      <c r="Y13" s="396" t="s">
        <v>57</v>
      </c>
      <c r="Z13" s="395"/>
      <c r="AC13" s="767" t="s">
        <v>157</v>
      </c>
      <c r="AD13" s="357"/>
      <c r="AH13" s="767" t="s">
        <v>167</v>
      </c>
      <c r="AI13" s="237"/>
      <c r="AJ13" s="237"/>
    </row>
    <row r="14" spans="2:36" ht="15" customHeight="1" thickBot="1" x14ac:dyDescent="0.35">
      <c r="B14" s="3"/>
      <c r="C14" s="235"/>
      <c r="D14" s="2"/>
      <c r="E14" s="2"/>
      <c r="F14" s="40" t="str">
        <f>IF(R20="err","","(Std Fueling "&amp;T19&amp;" gal ("&amp;T20&amp;"))")</f>
        <v>(Std Fueling 64 gal (TABS))</v>
      </c>
      <c r="H14" s="1"/>
      <c r="I14" s="15" t="s">
        <v>6</v>
      </c>
      <c r="J14" s="71">
        <f>SUM(J7:J13)</f>
        <v>2418.8000000000002</v>
      </c>
      <c r="K14" s="26"/>
      <c r="L14" s="70">
        <f>SUM(L7:L13)</f>
        <v>98.23060000000001</v>
      </c>
      <c r="M14" s="11" t="str">
        <f>"Max Ramp Weight: "&amp;TEXT(U9,"#,###")&amp;IF(U8&lt;&gt;U10," - Landing "&amp;TEXT(U10,"#,###"),"")</f>
        <v>Max Ramp Weight: 3,110 - Landing 2,950</v>
      </c>
      <c r="P14" s="362"/>
      <c r="Q14" s="375" t="str">
        <f t="shared" si="1"/>
        <v>Ln14</v>
      </c>
      <c r="R14" s="391"/>
      <c r="S14" s="400" t="s">
        <v>24</v>
      </c>
      <c r="T14" s="391"/>
      <c r="U14" s="391"/>
      <c r="V14" s="392"/>
      <c r="W14" s="393" t="s">
        <v>177</v>
      </c>
      <c r="X14" s="357"/>
      <c r="Y14" s="396" t="s">
        <v>156</v>
      </c>
      <c r="Z14" s="395"/>
      <c r="AC14" s="767"/>
      <c r="AD14" s="357"/>
      <c r="AH14" s="767"/>
      <c r="AI14" s="237"/>
      <c r="AJ14" s="237"/>
    </row>
    <row r="15" spans="2:36" ht="15" customHeight="1" thickTop="1" thickBot="1" x14ac:dyDescent="0.3">
      <c r="B15" s="32" t="s">
        <v>88</v>
      </c>
      <c r="C15" s="4"/>
      <c r="D15" s="793">
        <v>64</v>
      </c>
      <c r="E15" s="793"/>
      <c r="F15" s="5" t="s">
        <v>36</v>
      </c>
      <c r="H15" s="1"/>
      <c r="I15" s="16" t="s">
        <v>15</v>
      </c>
      <c r="J15" s="585">
        <f>V21</f>
        <v>-10</v>
      </c>
      <c r="K15" s="69">
        <f>U18</f>
        <v>46.5</v>
      </c>
      <c r="L15" s="72">
        <f>ROUND((J15*K15)/1000,5)</f>
        <v>-0.46500000000000002</v>
      </c>
      <c r="M15" s="11" t="s">
        <v>16</v>
      </c>
      <c r="P15" s="362"/>
      <c r="Q15" s="375" t="str">
        <f t="shared" si="1"/>
        <v>Ln15</v>
      </c>
      <c r="R15" s="391"/>
      <c r="S15" s="400" t="s">
        <v>193</v>
      </c>
      <c r="T15" s="391"/>
      <c r="U15" s="391"/>
      <c r="V15" s="392"/>
      <c r="W15" s="393" t="s">
        <v>177</v>
      </c>
      <c r="X15" s="357"/>
      <c r="Y15" s="396" t="s">
        <v>47</v>
      </c>
      <c r="Z15" s="388">
        <v>1800</v>
      </c>
      <c r="AC15" s="792"/>
      <c r="AD15" s="357"/>
      <c r="AH15" s="792"/>
      <c r="AI15" s="237"/>
      <c r="AJ15" s="237"/>
    </row>
    <row r="16" spans="2:36" ht="15" customHeight="1" thickTop="1" thickBot="1" x14ac:dyDescent="0.25">
      <c r="B16" s="32" t="s">
        <v>35</v>
      </c>
      <c r="C16" s="2"/>
      <c r="D16" s="794"/>
      <c r="E16" s="795"/>
      <c r="F16" s="5" t="s">
        <v>108</v>
      </c>
      <c r="H16" s="1"/>
      <c r="I16" s="17" t="s">
        <v>7</v>
      </c>
      <c r="J16" s="126">
        <f ca="1">IF(expired=TRUE,9999,SUM(J14:J15))</f>
        <v>2408.8000000000002</v>
      </c>
      <c r="K16" s="73" t="s">
        <v>5</v>
      </c>
      <c r="L16" s="74">
        <f>SUM(L14:L15)</f>
        <v>97.765600000000006</v>
      </c>
      <c r="M16" s="110" t="str">
        <f>"Max Gross: "&amp;TEXT(U8,"#,##0")&amp;"   Useful Load: "&amp;TEXT(U37,"#,##0")</f>
        <v>Max Gross: 3,100   Useful Load: 1,065</v>
      </c>
      <c r="P16" s="362"/>
      <c r="Q16" s="401"/>
      <c r="R16" s="401"/>
      <c r="S16" s="401"/>
      <c r="T16" s="401"/>
      <c r="U16" s="401"/>
      <c r="V16" s="401"/>
      <c r="W16" s="401"/>
      <c r="X16" s="357"/>
      <c r="Y16" s="402"/>
      <c r="Z16" s="395"/>
      <c r="AC16" s="403">
        <f>AC8</f>
        <v>3100</v>
      </c>
      <c r="AD16" s="357"/>
      <c r="AE16" s="404">
        <v>33</v>
      </c>
      <c r="AF16" s="82"/>
      <c r="AG16" s="82"/>
      <c r="AH16" s="405">
        <f>AH8</f>
        <v>46</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40.586848223181669</v>
      </c>
      <c r="L17" s="75" t="s">
        <v>5</v>
      </c>
      <c r="M17" s="12" t="s">
        <v>9</v>
      </c>
      <c r="P17" s="362"/>
      <c r="Q17" s="370" t="s">
        <v>158</v>
      </c>
      <c r="R17" s="371"/>
      <c r="S17" s="371"/>
      <c r="T17" s="406" t="s">
        <v>174</v>
      </c>
      <c r="U17" s="372" t="s">
        <v>2</v>
      </c>
      <c r="V17" s="372" t="s">
        <v>1</v>
      </c>
      <c r="W17" s="373" t="s">
        <v>179</v>
      </c>
      <c r="X17" s="357"/>
      <c r="Y17" s="407"/>
      <c r="Z17" s="408"/>
      <c r="AD17" s="357"/>
      <c r="AE17" s="409"/>
      <c r="AF17" s="797" t="s">
        <v>161</v>
      </c>
      <c r="AG17" s="797"/>
      <c r="AH17" s="410"/>
      <c r="AI17" s="237"/>
      <c r="AJ17" s="237"/>
    </row>
    <row r="18" spans="2:36" ht="15" customHeight="1" thickTop="1" thickBot="1" x14ac:dyDescent="0.25">
      <c r="B18" s="32" t="s">
        <v>139</v>
      </c>
      <c r="D18" s="798">
        <f>D16*D17</f>
        <v>0</v>
      </c>
      <c r="E18" s="799"/>
      <c r="F18" s="5" t="s">
        <v>36</v>
      </c>
      <c r="H18" s="1"/>
      <c r="I18" s="23" t="s">
        <v>23</v>
      </c>
      <c r="J18" s="25">
        <f>D18*6*-1</f>
        <v>0</v>
      </c>
      <c r="K18" s="25">
        <f>K8</f>
        <v>46.5</v>
      </c>
      <c r="L18" s="92">
        <f>ROUND((J18*K18)/1000,5)</f>
        <v>0</v>
      </c>
      <c r="M18" s="29" t="s">
        <v>73</v>
      </c>
      <c r="P18" s="362"/>
      <c r="Q18" s="375" t="str">
        <f t="shared" si="1"/>
        <v>Ln18</v>
      </c>
      <c r="R18" s="384" t="str">
        <f>IF(D15&gt;T18,"ERR","OK")</f>
        <v>OK</v>
      </c>
      <c r="S18" s="548" t="s">
        <v>239</v>
      </c>
      <c r="T18" s="411">
        <v>87</v>
      </c>
      <c r="U18" s="380">
        <v>46.5</v>
      </c>
      <c r="V18" s="412">
        <f>T18*6</f>
        <v>522</v>
      </c>
      <c r="W18" s="393" t="s">
        <v>176</v>
      </c>
      <c r="X18" s="357"/>
      <c r="Y18" s="357"/>
      <c r="Z18" s="357"/>
      <c r="AA18" s="357"/>
      <c r="AB18" s="357"/>
      <c r="AC18" s="357"/>
      <c r="AD18" s="357"/>
      <c r="AE18" s="357"/>
      <c r="AF18" s="357"/>
      <c r="AG18" s="357"/>
      <c r="AH18" s="35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587">
        <f ca="1">SUM(J16:J18)</f>
        <v>2408.8000000000002</v>
      </c>
      <c r="K19" s="93"/>
      <c r="L19" s="24">
        <f>SUM(L16:L18)</f>
        <v>97.765600000000006</v>
      </c>
      <c r="M19" s="29" t="str">
        <f>IF(U8=U10,"Landing Weight Limit same as Takeoff Weight","Max Landing Weight  "&amp;TEXT(U10,"#,##0"))</f>
        <v>Max Landing Weight  2,950</v>
      </c>
      <c r="P19" s="362"/>
      <c r="Q19" s="375" t="str">
        <f t="shared" si="1"/>
        <v>Ln19</v>
      </c>
      <c r="R19" s="391"/>
      <c r="S19" s="549" t="s">
        <v>240</v>
      </c>
      <c r="T19" s="411">
        <v>64</v>
      </c>
      <c r="U19" s="413"/>
      <c r="V19" s="412">
        <f>T19*6</f>
        <v>384</v>
      </c>
      <c r="W19" s="357"/>
      <c r="X19" s="357"/>
      <c r="Y19" s="357"/>
      <c r="Z19" s="357"/>
      <c r="AA19" s="414" t="str">
        <f ca="1">IF(AA20&gt;U8,"OUT","OK")</f>
        <v>OK</v>
      </c>
      <c r="AB19" s="415" t="s">
        <v>164</v>
      </c>
      <c r="AC19" s="357"/>
      <c r="AD19" s="357"/>
      <c r="AE19" s="414" t="str">
        <f ca="1">IF(AA19="out","out",IF(AND(AE20&gt;=AG20,AE20&lt;=AH20),"OK","OUT"))</f>
        <v>OK</v>
      </c>
      <c r="AF19" s="357"/>
      <c r="AG19" s="357"/>
      <c r="AH19" s="357"/>
      <c r="AI19" s="237"/>
      <c r="AJ19" s="237"/>
    </row>
    <row r="20" spans="2:36" ht="15" customHeight="1" thickTop="1" thickBot="1" x14ac:dyDescent="0.25">
      <c r="B20" s="135" t="s">
        <v>132</v>
      </c>
      <c r="I20" s="28" t="s">
        <v>8</v>
      </c>
      <c r="J20" s="94"/>
      <c r="K20" s="589">
        <f ca="1">(L19*1000)/J19</f>
        <v>40.586848223181669</v>
      </c>
      <c r="L20" s="588"/>
      <c r="M20" s="30" t="s">
        <v>65</v>
      </c>
      <c r="P20" s="362"/>
      <c r="Q20" s="375" t="str">
        <f t="shared" si="1"/>
        <v>Ln20</v>
      </c>
      <c r="R20" s="83" t="str">
        <f>IF(AND(T18=T19,LEFT(T20,1)="F"),"OK",IF(AND(T18&lt;&gt;T19,LEFT(T20,1)&lt;&gt;"F"),"OK","ERR"))</f>
        <v>OK</v>
      </c>
      <c r="S20" s="547" t="s">
        <v>188</v>
      </c>
      <c r="T20" s="546" t="s">
        <v>187</v>
      </c>
      <c r="U20" s="397" t="s">
        <v>190</v>
      </c>
      <c r="V20" s="412"/>
      <c r="W20" s="392"/>
      <c r="X20" s="357"/>
      <c r="Y20" s="416" t="s">
        <v>47</v>
      </c>
      <c r="Z20" s="417" t="s">
        <v>1</v>
      </c>
      <c r="AA20" s="418">
        <f ca="1">J16</f>
        <v>2408.8000000000002</v>
      </c>
      <c r="AB20" s="419"/>
      <c r="AC20" s="420"/>
      <c r="AD20" s="421" t="s">
        <v>40</v>
      </c>
      <c r="AE20" s="422">
        <f ca="1">K17</f>
        <v>40.586848223181669</v>
      </c>
      <c r="AF20" s="423" t="s">
        <v>61</v>
      </c>
      <c r="AG20" s="424">
        <f ca="1">VLOOKUP(AA20,Z23:AH26,8,TRUE)</f>
        <v>33.882928</v>
      </c>
      <c r="AH20" s="425">
        <f ca="1">VLOOKUP(AA20,Z23:AH26,9,TRUE)</f>
        <v>46</v>
      </c>
      <c r="AI20" s="237"/>
      <c r="AJ20" s="237"/>
    </row>
    <row r="21" spans="2:36" ht="13.5" thickTop="1" x14ac:dyDescent="0.2">
      <c r="B21" s="770" t="str">
        <f ca="1">IF(R10&lt;&gt;"OK","Caution - Landing Weight",IF(R11&lt;&gt;"OK","Watch Early Landing Weight",""))</f>
        <v/>
      </c>
      <c r="C21" s="772" t="str">
        <f ca="1">IF(OR(AA19="out",AE19="out"),"CAUTION:   Wt or CG Out of Limits","")</f>
        <v/>
      </c>
      <c r="D21" s="772"/>
      <c r="E21" s="772"/>
      <c r="F21" s="773"/>
      <c r="P21" s="362"/>
      <c r="Q21" s="375" t="str">
        <f t="shared" si="1"/>
        <v>Ln21</v>
      </c>
      <c r="R21" s="391"/>
      <c r="S21" s="548" t="s">
        <v>191</v>
      </c>
      <c r="T21" s="411">
        <v>1.7</v>
      </c>
      <c r="U21" s="413"/>
      <c r="V21" s="412">
        <f>ROUND(T21*6,0)*-1</f>
        <v>-10</v>
      </c>
      <c r="W21" s="357"/>
      <c r="X21" s="357"/>
      <c r="Y21" s="426" t="s">
        <v>48</v>
      </c>
      <c r="Z21" s="427"/>
      <c r="AA21" s="428" t="s">
        <v>67</v>
      </c>
      <c r="AB21" s="429"/>
      <c r="AC21" s="430"/>
      <c r="AD21" s="427"/>
      <c r="AE21" s="431" t="s">
        <v>66</v>
      </c>
      <c r="AF21" s="427"/>
      <c r="AG21" s="432" t="s">
        <v>46</v>
      </c>
      <c r="AH21" s="433" t="s">
        <v>46</v>
      </c>
      <c r="AI21" s="237"/>
      <c r="AJ21" s="237"/>
    </row>
    <row r="22" spans="2:36" ht="13.5" thickBot="1" x14ac:dyDescent="0.25">
      <c r="B22" s="771"/>
      <c r="C22" s="774"/>
      <c r="D22" s="774"/>
      <c r="E22" s="774"/>
      <c r="F22" s="775"/>
      <c r="P22" s="358"/>
      <c r="Q22" s="357"/>
      <c r="R22" s="391"/>
      <c r="S22" s="550" t="s">
        <v>15</v>
      </c>
      <c r="T22" s="391"/>
      <c r="U22" s="392"/>
      <c r="V22" s="391"/>
      <c r="W22" s="393" t="s">
        <v>177</v>
      </c>
      <c r="X22" s="357"/>
      <c r="Y22" s="426" t="s">
        <v>49</v>
      </c>
      <c r="Z22" s="434" t="s">
        <v>41</v>
      </c>
      <c r="AA22" s="434" t="s">
        <v>42</v>
      </c>
      <c r="AB22" s="435" t="s">
        <v>43</v>
      </c>
      <c r="AC22" s="436" t="s">
        <v>41</v>
      </c>
      <c r="AD22" s="437" t="s">
        <v>42</v>
      </c>
      <c r="AE22" s="438" t="s">
        <v>44</v>
      </c>
      <c r="AF22" s="439" t="s">
        <v>45</v>
      </c>
      <c r="AG22" s="440" t="s">
        <v>68</v>
      </c>
      <c r="AH22" s="441" t="s">
        <v>69</v>
      </c>
      <c r="AI22" s="237"/>
      <c r="AJ22" s="237"/>
    </row>
    <row r="23" spans="2:36" ht="13.5" thickTop="1" x14ac:dyDescent="0.2">
      <c r="B23" s="34" t="str">
        <f>IF(AND(R52&lt;&gt;"OK",R48&lt;&gt;"OK"),"Enter Fuel on Board","")</f>
        <v/>
      </c>
      <c r="C23" s="776" t="str">
        <f>IF(R53&lt;&gt;"OK","Fuel &lt;1-HR Reserve","")</f>
        <v/>
      </c>
      <c r="D23" s="776"/>
      <c r="E23" s="776"/>
      <c r="F23" s="777"/>
      <c r="I23" s="10" t="s">
        <v>64</v>
      </c>
      <c r="P23" s="358"/>
      <c r="Q23" s="401"/>
      <c r="R23" s="391"/>
      <c r="S23" s="550" t="s">
        <v>23</v>
      </c>
      <c r="T23" s="391"/>
      <c r="U23" s="392"/>
      <c r="V23" s="391"/>
      <c r="W23" s="393" t="s">
        <v>177</v>
      </c>
      <c r="X23" s="357"/>
      <c r="Y23" s="426" t="s">
        <v>50</v>
      </c>
      <c r="Z23" s="442">
        <f>Z15</f>
        <v>1800</v>
      </c>
      <c r="AA23" s="443">
        <f>Z12</f>
        <v>2250</v>
      </c>
      <c r="AB23" s="444">
        <f>+AA23-Z23</f>
        <v>450</v>
      </c>
      <c r="AC23" s="445">
        <f>AE16</f>
        <v>33</v>
      </c>
      <c r="AD23" s="446">
        <f>AE12</f>
        <v>33</v>
      </c>
      <c r="AE23" s="447">
        <f>AD23-AC23</f>
        <v>0</v>
      </c>
      <c r="AF23" s="448">
        <f>IF(OR(AB23=0,AE23=0),0,ROUND(AE23/AB23,5))</f>
        <v>0</v>
      </c>
      <c r="AG23" s="449">
        <f ca="1">IF(AND(AA20&gt;=Z23,AA20&lt;AA23),AC23+((AA20-Z23)*AF23),AC23)</f>
        <v>33</v>
      </c>
      <c r="AH23" s="450">
        <f>AD26</f>
        <v>46</v>
      </c>
      <c r="AI23" s="237"/>
      <c r="AJ23" s="237"/>
    </row>
    <row r="24" spans="2:36" ht="12.75" customHeight="1" x14ac:dyDescent="0.2">
      <c r="B24" s="77" t="str">
        <f>IF(AND(R52&lt;&gt;"OK",R49&lt;&gt;"OK"),"Enter GPH Usage","")</f>
        <v/>
      </c>
      <c r="C24" s="778" t="str">
        <f>IF(OR(R18&lt;&gt;"OK",R51&lt;&gt;"OK"),"Fueling Error","")</f>
        <v/>
      </c>
      <c r="D24" s="778"/>
      <c r="E24" s="778"/>
      <c r="F24" s="779"/>
      <c r="I24" s="9" t="s">
        <v>62</v>
      </c>
      <c r="P24" s="358"/>
      <c r="Q24" s="401"/>
      <c r="R24" s="401"/>
      <c r="S24" s="401"/>
      <c r="T24" s="401"/>
      <c r="U24" s="401"/>
      <c r="V24" s="401"/>
      <c r="W24" s="401"/>
      <c r="X24" s="357"/>
      <c r="Y24" s="426" t="s">
        <v>51</v>
      </c>
      <c r="Z24" s="451">
        <f>AA23</f>
        <v>2250</v>
      </c>
      <c r="AA24" s="452">
        <f>Z10</f>
        <v>2700</v>
      </c>
      <c r="AB24" s="453">
        <f>+AA24-Z24</f>
        <v>450</v>
      </c>
      <c r="AC24" s="454">
        <f>IF(AD24=AD23,AC23,AD23)</f>
        <v>33</v>
      </c>
      <c r="AD24" s="455">
        <f>AE10</f>
        <v>35.5</v>
      </c>
      <c r="AE24" s="447">
        <f>AD24-AC24</f>
        <v>2.5</v>
      </c>
      <c r="AF24" s="448">
        <f>IF(OR(AB24=0,AE24=0),0,ROUND(AE24/AB24,5))</f>
        <v>5.5599999999999998E-3</v>
      </c>
      <c r="AG24" s="449">
        <f ca="1">IF(AND(AA20&gt;=Z24,AA20&lt;AA24),AC24+((AA20-Z24)*AF24),AC24)</f>
        <v>33.882928</v>
      </c>
      <c r="AH24" s="213">
        <f>AH23</f>
        <v>46</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358"/>
      <c r="Q25" s="370" t="s">
        <v>159</v>
      </c>
      <c r="R25" s="371"/>
      <c r="S25" s="371"/>
      <c r="T25" s="371"/>
      <c r="U25" s="372" t="s">
        <v>2</v>
      </c>
      <c r="V25" s="372" t="s">
        <v>1</v>
      </c>
      <c r="W25" s="373" t="s">
        <v>179</v>
      </c>
      <c r="X25" s="357"/>
      <c r="Y25" s="426" t="s">
        <v>52</v>
      </c>
      <c r="Z25" s="451">
        <f>AA24</f>
        <v>2700</v>
      </c>
      <c r="AA25" s="452">
        <f>AA8</f>
        <v>3100</v>
      </c>
      <c r="AB25" s="453">
        <f>+AA25-Z25</f>
        <v>400</v>
      </c>
      <c r="AC25" s="454">
        <f>IF(AD25=AD24,AC24,AD24)</f>
        <v>35.5</v>
      </c>
      <c r="AD25" s="455">
        <f>AF8</f>
        <v>40.9</v>
      </c>
      <c r="AE25" s="447">
        <f>AD25-AC25</f>
        <v>5.3999999999999986</v>
      </c>
      <c r="AF25" s="448">
        <f>IF(OR(AB25=0,AE25=0),0,ROUND(AE25/AB25,5))</f>
        <v>1.35E-2</v>
      </c>
      <c r="AG25" s="449">
        <f ca="1">IF(AND(AA20&gt;=Z25,AA20&lt;AA25),AC25+((AA20-Z25)*AF25),AC25)</f>
        <v>35.5</v>
      </c>
      <c r="AH25" s="213">
        <f>AH24</f>
        <v>46</v>
      </c>
      <c r="AI25" s="237"/>
      <c r="AJ25" s="237"/>
    </row>
    <row r="26" spans="2:36" ht="13.5" thickTop="1" x14ac:dyDescent="0.2">
      <c r="I26" s="8" t="str">
        <f>"R Front:  "&amp;IF(E7=0,"---",E7&amp;"#")</f>
        <v>R Front:  ---</v>
      </c>
      <c r="P26" s="358"/>
      <c r="Q26" s="375" t="str">
        <f t="shared" si="1"/>
        <v>Ln26</v>
      </c>
      <c r="R26" s="391"/>
      <c r="S26" s="456" t="s">
        <v>11</v>
      </c>
      <c r="T26" s="378"/>
      <c r="U26" s="380">
        <v>37</v>
      </c>
      <c r="V26" s="412">
        <f>C7+E7</f>
        <v>0</v>
      </c>
      <c r="W26" s="457"/>
      <c r="X26" s="357"/>
      <c r="Y26" s="458" t="s">
        <v>52</v>
      </c>
      <c r="Z26" s="459">
        <f>AA25</f>
        <v>3100</v>
      </c>
      <c r="AA26" s="460">
        <f>AC8</f>
        <v>3100</v>
      </c>
      <c r="AB26" s="461">
        <f>+AA26-Z26</f>
        <v>0</v>
      </c>
      <c r="AC26" s="462">
        <f>IF(AD26=AD25,AC25,AD25)</f>
        <v>40.9</v>
      </c>
      <c r="AD26" s="463">
        <f>AH8</f>
        <v>46</v>
      </c>
      <c r="AE26" s="464">
        <f>AD26-AC26</f>
        <v>5.1000000000000014</v>
      </c>
      <c r="AF26" s="465">
        <f>IF(OR(AB26=0,AE26=0),0,ROUND(AE26/AB26,5))</f>
        <v>0</v>
      </c>
      <c r="AG26" s="466">
        <f ca="1">IF(AND(AA20&gt;=Z26,AA20&lt;AA26),AC26+((AA20-Z26)*AF26),AC26)</f>
        <v>40.9</v>
      </c>
      <c r="AH26" s="217">
        <f>AH25</f>
        <v>46</v>
      </c>
      <c r="AI26" s="237"/>
      <c r="AJ26" s="237"/>
    </row>
    <row r="27" spans="2:36" ht="12.75" customHeight="1" x14ac:dyDescent="0.2">
      <c r="B27" s="60" t="s">
        <v>79</v>
      </c>
      <c r="H27" s="1"/>
      <c r="I27" s="8" t="str">
        <f>"L  Rear:  "&amp;IF(C9=0,"---",C9&amp;"#")</f>
        <v>L  Rear:  ---</v>
      </c>
      <c r="P27" s="358"/>
      <c r="Q27" s="375" t="str">
        <f t="shared" si="1"/>
        <v>Ln27</v>
      </c>
      <c r="R27" s="391"/>
      <c r="S27" s="456" t="s">
        <v>12</v>
      </c>
      <c r="T27" s="378"/>
      <c r="U27" s="380">
        <v>74</v>
      </c>
      <c r="V27" s="412">
        <f>C9+E9</f>
        <v>0</v>
      </c>
      <c r="W27" s="457"/>
      <c r="X27" s="357"/>
      <c r="Y27" s="357"/>
      <c r="Z27" s="357"/>
      <c r="AA27" s="357"/>
      <c r="AB27" s="357"/>
      <c r="AC27" s="357"/>
      <c r="AD27" s="357"/>
      <c r="AE27" s="357"/>
      <c r="AF27" s="357"/>
      <c r="AG27" s="357"/>
      <c r="AH27" s="357"/>
      <c r="AI27" s="237"/>
      <c r="AJ27" s="237"/>
    </row>
    <row r="28" spans="2:36" ht="13.5" thickBot="1" x14ac:dyDescent="0.25">
      <c r="B28" s="22" t="s">
        <v>127</v>
      </c>
      <c r="D28" s="782">
        <f>U37+(J15*-1)</f>
        <v>1075</v>
      </c>
      <c r="E28" s="783"/>
      <c r="F28" s="784" t="str">
        <f>"( "&amp;TEXT(U37,"#,##0")&amp;"+"&amp;J15*-1&amp;" )"</f>
        <v>( 1,065+10 )</v>
      </c>
      <c r="G28" s="785"/>
      <c r="H28" s="785"/>
      <c r="I28" s="8" t="str">
        <f>"R  Rear:  "&amp;IF(E9=0,"---",E9&amp;"#")</f>
        <v>R  Rear:  ---</v>
      </c>
      <c r="P28" s="358"/>
      <c r="Q28" s="357"/>
      <c r="R28" s="357"/>
      <c r="S28" s="357"/>
      <c r="T28" s="357"/>
      <c r="U28" s="413"/>
      <c r="V28" s="413"/>
      <c r="W28" s="357"/>
      <c r="X28" s="357"/>
      <c r="Y28" s="357"/>
      <c r="Z28" s="357"/>
      <c r="AA28" s="357"/>
      <c r="AB28" s="357"/>
      <c r="AC28" s="357"/>
      <c r="AD28" s="357"/>
      <c r="AE28" s="357"/>
      <c r="AF28" s="357"/>
      <c r="AG28" s="357"/>
      <c r="AH28" s="357"/>
      <c r="AI28" s="237"/>
      <c r="AJ28" s="237"/>
    </row>
    <row r="29" spans="2:36" ht="13.5" thickBot="1" x14ac:dyDescent="0.25">
      <c r="B29" s="22" t="s">
        <v>126</v>
      </c>
      <c r="D29" s="786">
        <f>SUM(J8:J13)</f>
        <v>384</v>
      </c>
      <c r="E29" s="787"/>
      <c r="I29" s="8" t="str">
        <f>"Bag 1:  "&amp;IF(C11=0,"---",C11&amp;"#")</f>
        <v>Bag 1:  ---</v>
      </c>
      <c r="P29" s="358"/>
      <c r="Q29" s="375" t="str">
        <f t="shared" si="1"/>
        <v>Ln29</v>
      </c>
      <c r="R29" s="467" t="str">
        <f>IF(C11&gt;V29,"ERR","OK")</f>
        <v>OK</v>
      </c>
      <c r="S29" s="456" t="s">
        <v>25</v>
      </c>
      <c r="T29" s="512">
        <f>C11</f>
        <v>0</v>
      </c>
      <c r="U29" s="380">
        <v>97</v>
      </c>
      <c r="V29" s="468">
        <v>120</v>
      </c>
      <c r="W29" s="393" t="s">
        <v>176</v>
      </c>
      <c r="X29" s="357"/>
      <c r="Y29" s="357"/>
      <c r="Z29" s="357"/>
      <c r="AA29" s="357"/>
      <c r="AB29" s="357"/>
      <c r="AC29" s="357"/>
      <c r="AD29" s="357"/>
      <c r="AE29" s="357"/>
      <c r="AF29" s="357"/>
      <c r="AG29" s="357"/>
      <c r="AH29" s="357"/>
      <c r="AI29" s="237"/>
      <c r="AJ29" s="237"/>
    </row>
    <row r="30" spans="2:36" ht="15.75" x14ac:dyDescent="0.3">
      <c r="B30" s="22" t="str">
        <f>IF(D29&lt;=D28,"Lbs before overweight","OVERWEIGHT")</f>
        <v>Lbs before overweight</v>
      </c>
      <c r="D30" s="788">
        <f>ABS(D28-D29)</f>
        <v>691</v>
      </c>
      <c r="E30" s="789"/>
      <c r="F30" s="790" t="str">
        <f>IF(D29&gt;D28,"# Over","")</f>
        <v/>
      </c>
      <c r="G30" s="791"/>
      <c r="H30" s="791"/>
      <c r="I30" s="8" t="str">
        <f>"Bag 2:  "&amp;IF(C12=0,"---",C12&amp;"#")</f>
        <v>Bag 2:  ---</v>
      </c>
      <c r="P30" s="358"/>
      <c r="Q30" s="375" t="str">
        <f t="shared" si="1"/>
        <v>Ln30</v>
      </c>
      <c r="R30" s="467" t="str">
        <f>IF(C12&gt;V30,"ERR","OK")</f>
        <v>OK</v>
      </c>
      <c r="S30" s="456" t="s">
        <v>26</v>
      </c>
      <c r="T30" s="512">
        <f>C12</f>
        <v>0</v>
      </c>
      <c r="U30" s="380">
        <v>116</v>
      </c>
      <c r="V30" s="468">
        <v>80</v>
      </c>
      <c r="W30" s="393" t="s">
        <v>176</v>
      </c>
      <c r="X30" s="357"/>
      <c r="Y30" s="357"/>
      <c r="Z30" s="472"/>
      <c r="AA30" s="473"/>
      <c r="AB30" s="474" t="s">
        <v>165</v>
      </c>
      <c r="AC30" s="371"/>
      <c r="AD30" s="371"/>
      <c r="AE30" s="371"/>
      <c r="AF30" s="371"/>
      <c r="AG30" s="371"/>
      <c r="AH30" s="357"/>
      <c r="AI30" s="237"/>
      <c r="AJ30" s="237"/>
    </row>
    <row r="31" spans="2:36" ht="15.75" thickBot="1" x14ac:dyDescent="0.3">
      <c r="P31" s="358"/>
      <c r="Q31" s="375" t="str">
        <f t="shared" si="1"/>
        <v>Ln31</v>
      </c>
      <c r="R31" s="511" t="str">
        <f>IF(D13&gt;V31,"ERR","OK")</f>
        <v>OK</v>
      </c>
      <c r="S31" s="509" t="s">
        <v>28</v>
      </c>
      <c r="T31" s="512">
        <f>D13</f>
        <v>0</v>
      </c>
      <c r="U31" s="380">
        <v>129</v>
      </c>
      <c r="V31" s="468">
        <v>80</v>
      </c>
      <c r="W31" s="393" t="s">
        <v>176</v>
      </c>
      <c r="X31" s="357"/>
      <c r="Y31" s="357"/>
      <c r="Z31" s="357"/>
      <c r="AA31" s="357"/>
      <c r="AB31" s="357"/>
      <c r="AC31" s="382" t="s">
        <v>162</v>
      </c>
      <c r="AD31" s="357"/>
      <c r="AE31" s="357"/>
      <c r="AF31" s="357"/>
      <c r="AG31" s="473"/>
      <c r="AH31" s="357"/>
      <c r="AI31" s="237"/>
      <c r="AJ31" s="237"/>
    </row>
    <row r="32" spans="2:36" ht="13.5" thickTop="1" x14ac:dyDescent="0.2">
      <c r="I32" s="8"/>
      <c r="P32" s="358"/>
      <c r="Q32" s="375" t="str">
        <f t="shared" si="1"/>
        <v>Ln32</v>
      </c>
      <c r="R32" s="511" t="str">
        <f>IF(C11+C12+D13&gt;V32,"ERR","OK")</f>
        <v>OK</v>
      </c>
      <c r="S32" s="510" t="s">
        <v>29</v>
      </c>
      <c r="T32" s="512">
        <f>SUM(C11,C12,D13)</f>
        <v>0</v>
      </c>
      <c r="U32" s="471"/>
      <c r="V32" s="468">
        <v>200</v>
      </c>
      <c r="W32" s="357"/>
      <c r="X32" s="357"/>
      <c r="Y32" s="476"/>
      <c r="Z32" s="477"/>
      <c r="AA32" s="478">
        <v>2950</v>
      </c>
      <c r="AC32" s="403">
        <f>AA32</f>
        <v>2950</v>
      </c>
      <c r="AD32" s="357"/>
      <c r="AF32" s="479">
        <v>39</v>
      </c>
      <c r="AH32" s="390">
        <v>46</v>
      </c>
      <c r="AI32" s="237"/>
      <c r="AJ32" s="237"/>
    </row>
    <row r="33" spans="8:36" x14ac:dyDescent="0.2">
      <c r="I33" s="9" t="s">
        <v>63</v>
      </c>
      <c r="P33" s="358"/>
      <c r="Q33" s="375" t="str">
        <f t="shared" si="1"/>
        <v>Ln33</v>
      </c>
      <c r="R33" s="511" t="str">
        <f>IF(C11+C12&gt;V33,"ERR","OK")</f>
        <v>OK</v>
      </c>
      <c r="S33" s="470" t="s">
        <v>30</v>
      </c>
      <c r="T33" s="512"/>
      <c r="U33" s="471"/>
      <c r="V33" s="468">
        <v>200</v>
      </c>
      <c r="W33" s="357"/>
      <c r="X33" s="357"/>
      <c r="Y33" s="480"/>
      <c r="Z33" s="82"/>
      <c r="AD33" s="357"/>
      <c r="AI33" s="237"/>
      <c r="AJ33" s="237"/>
    </row>
    <row r="34" spans="8:36" ht="13.5" x14ac:dyDescent="0.25">
      <c r="I34" s="10" t="str">
        <f>"Start:  "&amp;TEXT(D15,("###.0"))&amp;" USG"</f>
        <v>Start:  64.0 USG</v>
      </c>
      <c r="P34" s="358"/>
      <c r="Q34" s="375" t="str">
        <f t="shared" si="1"/>
        <v>Ln34</v>
      </c>
      <c r="R34" s="511" t="str">
        <f>IF(C12+D13&gt;V34,"ERR","OK")</f>
        <v>OK</v>
      </c>
      <c r="S34" s="510" t="s">
        <v>71</v>
      </c>
      <c r="T34" s="512"/>
      <c r="U34" s="471"/>
      <c r="V34" s="468">
        <v>80</v>
      </c>
      <c r="W34" s="357"/>
      <c r="X34" s="357"/>
      <c r="Y34" s="481" t="s">
        <v>155</v>
      </c>
      <c r="Z34" s="478">
        <v>2700</v>
      </c>
      <c r="AD34" s="357"/>
      <c r="AE34" s="483">
        <v>35.700000000000003</v>
      </c>
      <c r="AI34" s="237"/>
      <c r="AJ34" s="237"/>
    </row>
    <row r="35" spans="8:36" ht="13.5" x14ac:dyDescent="0.25">
      <c r="I35" s="10" t="str">
        <f>"Used:    "&amp;TEXT(D18,("###.0"))&amp;" USG"</f>
        <v>Used:    .0 USG</v>
      </c>
      <c r="P35" s="358"/>
      <c r="Q35" s="357"/>
      <c r="R35" s="357"/>
      <c r="S35" s="357"/>
      <c r="T35" s="357"/>
      <c r="U35" s="357"/>
      <c r="V35" s="357"/>
      <c r="W35" s="357"/>
      <c r="X35" s="357"/>
      <c r="Y35" s="481" t="s">
        <v>50</v>
      </c>
      <c r="Z35" s="82"/>
      <c r="AA35" s="766" t="s">
        <v>1</v>
      </c>
      <c r="AB35" s="766"/>
      <c r="AD35" s="357"/>
      <c r="AF35" s="766" t="s">
        <v>154</v>
      </c>
      <c r="AG35" s="766"/>
      <c r="AI35" s="237"/>
      <c r="AJ35" s="237"/>
    </row>
    <row r="36" spans="8:36" ht="13.5" x14ac:dyDescent="0.25">
      <c r="I36" s="10" t="str">
        <f>"Reserve:  "&amp;TEXT(D15-D18,"###.0")&amp;" USG"</f>
        <v>Reserve:  64.0 USG</v>
      </c>
      <c r="P36" s="358"/>
      <c r="Q36" s="370" t="s">
        <v>160</v>
      </c>
      <c r="R36" s="371"/>
      <c r="S36" s="371"/>
      <c r="T36" s="371"/>
      <c r="U36" s="482" t="s">
        <v>1</v>
      </c>
      <c r="V36" s="357"/>
      <c r="W36" s="357"/>
      <c r="X36" s="357"/>
      <c r="Y36" s="481" t="s">
        <v>56</v>
      </c>
      <c r="Z36" s="478">
        <v>2250</v>
      </c>
      <c r="AA36" s="766" t="s">
        <v>153</v>
      </c>
      <c r="AB36" s="766"/>
      <c r="AD36" s="357"/>
      <c r="AE36" s="628">
        <f>AE40</f>
        <v>33</v>
      </c>
      <c r="AF36" s="766" t="s">
        <v>153</v>
      </c>
      <c r="AG36" s="766"/>
      <c r="AI36" s="237"/>
      <c r="AJ36" s="237"/>
    </row>
    <row r="37" spans="8:36" ht="13.5" x14ac:dyDescent="0.25">
      <c r="P37" s="358"/>
      <c r="Q37" s="375" t="str">
        <f t="shared" ref="Q37:Q39" si="2">"Ln"&amp;ROW()</f>
        <v>Ln37</v>
      </c>
      <c r="R37" s="484"/>
      <c r="S37" s="400" t="s">
        <v>77</v>
      </c>
      <c r="T37" s="485"/>
      <c r="U37" s="486">
        <f>ROUNDDOWN(U8-U7,0)</f>
        <v>1065</v>
      </c>
      <c r="V37" s="357"/>
      <c r="W37" s="357"/>
      <c r="X37" s="357"/>
      <c r="Y37" s="481" t="s">
        <v>57</v>
      </c>
      <c r="Z37" s="82"/>
      <c r="AC37" s="767" t="s">
        <v>157</v>
      </c>
      <c r="AD37" s="357"/>
      <c r="AH37" s="767" t="s">
        <v>157</v>
      </c>
      <c r="AI37" s="237"/>
      <c r="AJ37" s="237"/>
    </row>
    <row r="38" spans="8:36" ht="13.5" x14ac:dyDescent="0.25">
      <c r="I38" s="9" t="s">
        <v>72</v>
      </c>
      <c r="P38" s="358"/>
      <c r="Q38" s="375" t="str">
        <f t="shared" si="2"/>
        <v>Ln38</v>
      </c>
      <c r="R38" s="484"/>
      <c r="S38" s="400" t="s">
        <v>76</v>
      </c>
      <c r="T38" s="485"/>
      <c r="U38" s="486">
        <f>IF(T19=0,"",U37-V19)</f>
        <v>681</v>
      </c>
      <c r="V38" s="357"/>
      <c r="W38" s="357"/>
      <c r="X38" s="357"/>
      <c r="Y38" s="481" t="s">
        <v>156</v>
      </c>
      <c r="Z38" s="82"/>
      <c r="AC38" s="767"/>
      <c r="AD38" s="357"/>
      <c r="AH38" s="767"/>
      <c r="AI38" s="237"/>
      <c r="AJ38" s="237"/>
    </row>
    <row r="39" spans="8:36" ht="13.5" x14ac:dyDescent="0.25">
      <c r="H39" s="7"/>
      <c r="I39" s="63" t="str">
        <f>IF(T42="","","Max Flight (NO Res)")</f>
        <v/>
      </c>
      <c r="P39" s="358"/>
      <c r="Q39" s="375" t="str">
        <f t="shared" si="2"/>
        <v>Ln39</v>
      </c>
      <c r="R39" s="484"/>
      <c r="S39" s="400" t="s">
        <v>78</v>
      </c>
      <c r="T39" s="487"/>
      <c r="U39" s="486">
        <f>U37-V18</f>
        <v>543</v>
      </c>
      <c r="V39" s="357"/>
      <c r="W39" s="357"/>
      <c r="X39" s="357"/>
      <c r="Y39" s="481" t="s">
        <v>47</v>
      </c>
      <c r="Z39" s="82"/>
      <c r="AC39" s="768"/>
      <c r="AD39" s="357"/>
      <c r="AH39" s="768"/>
      <c r="AI39" s="237"/>
      <c r="AJ39" s="237"/>
    </row>
    <row r="40" spans="8:36" x14ac:dyDescent="0.2">
      <c r="H40" s="7"/>
      <c r="I40" s="21" t="str">
        <f>IF(T42="","","~"&amp;TEXT(T42,("##.0"))&amp;" hrs")</f>
        <v/>
      </c>
      <c r="P40" s="358"/>
      <c r="Q40" s="357"/>
      <c r="R40" s="357"/>
      <c r="S40" s="357"/>
      <c r="T40" s="413"/>
      <c r="U40" s="413"/>
      <c r="V40" s="357"/>
      <c r="W40" s="357"/>
      <c r="X40" s="357"/>
      <c r="Y40" s="480"/>
      <c r="Z40" s="478">
        <v>1800</v>
      </c>
      <c r="AC40" s="403">
        <f>AC32</f>
        <v>2950</v>
      </c>
      <c r="AD40" s="357"/>
      <c r="AE40" s="489">
        <v>33</v>
      </c>
      <c r="AF40" s="82"/>
      <c r="AG40" s="82"/>
      <c r="AH40" s="490">
        <f>AH32</f>
        <v>46</v>
      </c>
      <c r="AI40" s="242"/>
      <c r="AJ40" s="242"/>
    </row>
    <row r="41" spans="8:36" ht="14.25" thickBot="1" x14ac:dyDescent="0.3">
      <c r="I41" s="61" t="str">
        <f>IF(T42="","","@ "&amp;TEXT(D16,"##.0")&amp;" GPH")</f>
        <v/>
      </c>
      <c r="P41" s="358"/>
      <c r="Q41" s="370" t="s">
        <v>119</v>
      </c>
      <c r="R41" s="371"/>
      <c r="S41" s="482"/>
      <c r="T41" s="488" t="s">
        <v>121</v>
      </c>
      <c r="U41" s="413"/>
      <c r="V41" s="357"/>
      <c r="W41" s="357"/>
      <c r="X41" s="357"/>
      <c r="Y41" s="494"/>
      <c r="Z41" s="495"/>
      <c r="AD41" s="357"/>
      <c r="AE41" s="496"/>
      <c r="AF41" s="769" t="s">
        <v>161</v>
      </c>
      <c r="AG41" s="769"/>
      <c r="AH41" s="497"/>
      <c r="AI41" s="237"/>
      <c r="AJ41" s="237"/>
    </row>
    <row r="42" spans="8:36" ht="13.5" thickTop="1" x14ac:dyDescent="0.2">
      <c r="I42" s="65" t="str">
        <f>IF(R52&lt;&gt;"OK","","  At end of ")</f>
        <v/>
      </c>
      <c r="P42" s="358"/>
      <c r="Q42" s="375" t="str">
        <f t="shared" ref="Q42:Q43" si="3">"Ln"&amp;ROW()</f>
        <v>Ln42</v>
      </c>
      <c r="R42" s="491" t="s">
        <v>91</v>
      </c>
      <c r="S42" s="492"/>
      <c r="T42" s="493" t="str">
        <f>IF(AND(D15&gt;0,D18&gt;0),ROUND(D15/D16,3),"")</f>
        <v/>
      </c>
      <c r="U42" s="413"/>
      <c r="V42" s="357"/>
      <c r="W42" s="357"/>
      <c r="X42" s="357"/>
      <c r="Y42" s="357"/>
      <c r="Z42" s="357"/>
      <c r="AA42" s="357"/>
      <c r="AB42" s="357"/>
      <c r="AC42" s="357"/>
      <c r="AD42" s="357"/>
      <c r="AE42" s="357"/>
      <c r="AF42" s="357"/>
      <c r="AG42" s="357"/>
      <c r="AH42" s="357"/>
      <c r="AI42" s="237"/>
      <c r="AJ42" s="237"/>
    </row>
    <row r="43" spans="8:36" ht="13.5" thickBot="1" x14ac:dyDescent="0.25">
      <c r="I43" s="66" t="str">
        <f>IF(R52&lt;&gt;"OK","",TEXT(D17,"##.0")&amp;" Hr Trip . . ")</f>
        <v/>
      </c>
      <c r="P43" s="358"/>
      <c r="Q43" s="375" t="str">
        <f t="shared" si="3"/>
        <v>Ln43</v>
      </c>
      <c r="R43" s="491" t="s">
        <v>95</v>
      </c>
      <c r="S43" s="492"/>
      <c r="T43" s="493" t="str">
        <f>IF(AND(D15&gt;0,D16&gt;0,D18&gt;0),ROUND((D15-D18)/D16,3),"")</f>
        <v/>
      </c>
      <c r="U43" s="413"/>
      <c r="V43" s="357"/>
      <c r="W43" s="357"/>
      <c r="X43" s="357"/>
      <c r="Y43" s="357"/>
      <c r="Z43" s="357"/>
      <c r="AA43" s="498" t="str">
        <f ca="1">IF(U8=U10,"OK",IF(AA44&gt;U10,"OUT","OK"))</f>
        <v>OK</v>
      </c>
      <c r="AB43" s="415" t="s">
        <v>164</v>
      </c>
      <c r="AC43" s="357"/>
      <c r="AD43" s="357"/>
      <c r="AE43" s="498" t="str">
        <f ca="1">IF(U8=U10,"OK",IF(AND(AE44&gt;=AG44,AE44&lt;=AH44),"OK","OUT"))</f>
        <v>OK</v>
      </c>
      <c r="AF43" s="357"/>
      <c r="AG43" s="357"/>
      <c r="AH43" s="357"/>
      <c r="AI43" s="237"/>
      <c r="AJ43" s="237"/>
    </row>
    <row r="44" spans="8:36" ht="14.25" thickTop="1" thickBot="1" x14ac:dyDescent="0.25">
      <c r="I44" s="62" t="str">
        <f>IF(R52&lt;&gt;"OK","","Reserve is ~ "&amp;TEXT(T43,"##.0")&amp;" Hrs")</f>
        <v/>
      </c>
      <c r="P44" s="358"/>
      <c r="Q44" s="357"/>
      <c r="R44" s="357"/>
      <c r="S44" s="357"/>
      <c r="T44" s="357"/>
      <c r="U44" s="357"/>
      <c r="V44" s="357"/>
      <c r="W44" s="357"/>
      <c r="X44" s="357"/>
      <c r="Y44" s="416" t="s">
        <v>53</v>
      </c>
      <c r="Z44" s="417" t="s">
        <v>1</v>
      </c>
      <c r="AA44" s="499">
        <f ca="1">J19</f>
        <v>2408.8000000000002</v>
      </c>
      <c r="AB44" s="419"/>
      <c r="AC44" s="420"/>
      <c r="AD44" s="500" t="s">
        <v>40</v>
      </c>
      <c r="AE44" s="499">
        <f ca="1">K20</f>
        <v>40.586848223181669</v>
      </c>
      <c r="AF44" s="423" t="s">
        <v>61</v>
      </c>
      <c r="AG44" s="501">
        <f ca="1">VLOOKUP(AA44,Z47:AH50,8)</f>
        <v>33.952800000000003</v>
      </c>
      <c r="AH44" s="502">
        <f ca="1">VLOOKUP(AA44,Z47:AH50,9)</f>
        <v>46</v>
      </c>
      <c r="AI44" s="237"/>
      <c r="AJ44" s="237"/>
    </row>
    <row r="45" spans="8:36" ht="13.5" thickTop="1" x14ac:dyDescent="0.2">
      <c r="I45" s="64" t="str">
        <f>IF(R52&lt;&gt;"OK","",IF(R53&lt;&gt;"OK","Caution: &lt; 1 HR",""))</f>
        <v/>
      </c>
      <c r="P45" s="358"/>
      <c r="Q45" s="370" t="s">
        <v>175</v>
      </c>
      <c r="R45" s="371"/>
      <c r="S45" s="482"/>
      <c r="T45" s="482"/>
      <c r="U45" s="357"/>
      <c r="V45" s="357"/>
      <c r="W45" s="357"/>
      <c r="X45" s="357"/>
      <c r="Y45" s="426" t="s">
        <v>48</v>
      </c>
      <c r="Z45" s="427"/>
      <c r="AA45" s="428" t="s">
        <v>67</v>
      </c>
      <c r="AB45" s="429"/>
      <c r="AC45" s="430"/>
      <c r="AD45" s="427"/>
      <c r="AE45" s="431" t="s">
        <v>66</v>
      </c>
      <c r="AF45" s="427"/>
      <c r="AG45" s="432" t="s">
        <v>46</v>
      </c>
      <c r="AH45" s="433" t="s">
        <v>46</v>
      </c>
      <c r="AI45" s="237"/>
      <c r="AJ45" s="237"/>
    </row>
    <row r="46" spans="8:36" ht="13.5" thickBot="1" x14ac:dyDescent="0.25">
      <c r="P46" s="358"/>
      <c r="Q46" s="375" t="str">
        <f t="shared" ref="Q46:Q53" si="4">"Ln"&amp;ROW()</f>
        <v>Ln46</v>
      </c>
      <c r="R46" s="503" t="str">
        <f>IF(AND(C7="",(E7+C9+E9)&gt;0),"WARN","OK")</f>
        <v>OK</v>
      </c>
      <c r="S46" s="504" t="s">
        <v>89</v>
      </c>
      <c r="T46" s="505"/>
      <c r="U46" s="357"/>
      <c r="V46" s="357"/>
      <c r="W46" s="357"/>
      <c r="X46" s="357"/>
      <c r="Y46" s="426" t="s">
        <v>54</v>
      </c>
      <c r="Z46" s="434" t="s">
        <v>41</v>
      </c>
      <c r="AA46" s="434" t="s">
        <v>42</v>
      </c>
      <c r="AB46" s="435" t="s">
        <v>43</v>
      </c>
      <c r="AC46" s="436" t="s">
        <v>41</v>
      </c>
      <c r="AD46" s="437" t="s">
        <v>42</v>
      </c>
      <c r="AE46" s="438" t="s">
        <v>44</v>
      </c>
      <c r="AF46" s="439" t="s">
        <v>45</v>
      </c>
      <c r="AG46" s="440" t="s">
        <v>68</v>
      </c>
      <c r="AH46" s="441" t="s">
        <v>69</v>
      </c>
      <c r="AI46" s="237"/>
      <c r="AJ46" s="237"/>
    </row>
    <row r="47" spans="8:36" ht="13.5" thickTop="1" x14ac:dyDescent="0.2">
      <c r="P47" s="358"/>
      <c r="Q47" s="375" t="str">
        <f t="shared" si="4"/>
        <v>Ln47</v>
      </c>
      <c r="R47" s="503" t="str">
        <f>IF(C7+E7+C9+E9&gt;0,"INFO","OK")</f>
        <v>OK</v>
      </c>
      <c r="S47" s="504" t="s">
        <v>92</v>
      </c>
      <c r="T47" s="505"/>
      <c r="U47" s="357"/>
      <c r="V47" s="357"/>
      <c r="W47" s="357"/>
      <c r="X47" s="357"/>
      <c r="Y47" s="426" t="s">
        <v>55</v>
      </c>
      <c r="Z47" s="442">
        <f>Z40</f>
        <v>1800</v>
      </c>
      <c r="AA47" s="443">
        <f>Z36</f>
        <v>2250</v>
      </c>
      <c r="AB47" s="444">
        <f>+AA47-Z47</f>
        <v>450</v>
      </c>
      <c r="AC47" s="445">
        <f>AE40</f>
        <v>33</v>
      </c>
      <c r="AD47" s="446">
        <f>AE36</f>
        <v>33</v>
      </c>
      <c r="AE47" s="447">
        <f>AD47-AC47</f>
        <v>0</v>
      </c>
      <c r="AF47" s="448">
        <f>IF(OR(AB47=0,AE47=0),0,ROUND(AE47/AB47,5))</f>
        <v>0</v>
      </c>
      <c r="AG47" s="449">
        <f ca="1">IF(AND(AA44&gt;=Z47,AA44&lt;AA47),AC47+((AA44-Z47)*AF47),AC47)</f>
        <v>33</v>
      </c>
      <c r="AH47" s="450">
        <f>AD50</f>
        <v>46</v>
      </c>
      <c r="AI47" s="237"/>
      <c r="AJ47" s="237"/>
    </row>
    <row r="48" spans="8:36" x14ac:dyDescent="0.2">
      <c r="P48" s="358"/>
      <c r="Q48" s="375" t="str">
        <f t="shared" si="4"/>
        <v>Ln48</v>
      </c>
      <c r="R48" s="503" t="str">
        <f>IF(AND(C7&gt;0,D15=0),"WARN","OK")</f>
        <v>OK</v>
      </c>
      <c r="S48" s="506" t="s">
        <v>111</v>
      </c>
      <c r="T48" s="507"/>
      <c r="U48" s="357"/>
      <c r="V48" s="357"/>
      <c r="W48" s="357"/>
      <c r="X48" s="357"/>
      <c r="Y48" s="426" t="s">
        <v>56</v>
      </c>
      <c r="Z48" s="451">
        <f>AA47</f>
        <v>2250</v>
      </c>
      <c r="AA48" s="452">
        <f>Z34</f>
        <v>2700</v>
      </c>
      <c r="AB48" s="453">
        <f>+AA48-Z48</f>
        <v>450</v>
      </c>
      <c r="AC48" s="454">
        <f>IF(AD48=AD47,AC47,AD47)</f>
        <v>33</v>
      </c>
      <c r="AD48" s="455">
        <f>AE34</f>
        <v>35.700000000000003</v>
      </c>
      <c r="AE48" s="447">
        <f>AD48-AC48</f>
        <v>2.7000000000000028</v>
      </c>
      <c r="AF48" s="448">
        <f>IF(OR(AB48=0,AE48=0),0,ROUND(AE48/AB48,5))</f>
        <v>6.0000000000000001E-3</v>
      </c>
      <c r="AG48" s="449">
        <f ca="1">IF(AND(AA44&gt;=Z48,AA44&lt;AA48),AC48+((AA44-Z48)*AF48),AC48)</f>
        <v>33.952800000000003</v>
      </c>
      <c r="AH48" s="213">
        <f>AH47</f>
        <v>46</v>
      </c>
      <c r="AI48" s="237"/>
      <c r="AJ48" s="237"/>
    </row>
    <row r="49" spans="8:36" x14ac:dyDescent="0.2">
      <c r="P49" s="358"/>
      <c r="Q49" s="375" t="str">
        <f t="shared" si="4"/>
        <v>Ln49</v>
      </c>
      <c r="R49" s="503" t="str">
        <f>IF(AND(C7&gt;0,D16=0),"WARN","OK")</f>
        <v>OK</v>
      </c>
      <c r="S49" s="506" t="s">
        <v>113</v>
      </c>
      <c r="T49" s="507"/>
      <c r="U49" s="357"/>
      <c r="V49" s="357"/>
      <c r="W49" s="357"/>
      <c r="X49" s="357"/>
      <c r="Y49" s="426" t="s">
        <v>54</v>
      </c>
      <c r="Z49" s="451">
        <f>AA48</f>
        <v>2700</v>
      </c>
      <c r="AA49" s="452">
        <f>AA32</f>
        <v>2950</v>
      </c>
      <c r="AB49" s="453">
        <f>+AA49-Z49</f>
        <v>250</v>
      </c>
      <c r="AC49" s="454">
        <f>IF(AD49=AD48,AC48,AD48)</f>
        <v>35.700000000000003</v>
      </c>
      <c r="AD49" s="455">
        <f>AF32</f>
        <v>39</v>
      </c>
      <c r="AE49" s="447">
        <f>AD49-AC49</f>
        <v>3.2999999999999972</v>
      </c>
      <c r="AF49" s="448">
        <f>IF(OR(AB49=0,AE49=0),0,ROUND(AE49/AB49,5))</f>
        <v>1.32E-2</v>
      </c>
      <c r="AG49" s="449">
        <f ca="1">IF(AND(AA44&gt;=Z49,AA44&lt;AA49),AC49+((AA44-Z49)*AF49),AC49)</f>
        <v>35.700000000000003</v>
      </c>
      <c r="AH49" s="213">
        <f>AH48</f>
        <v>46</v>
      </c>
      <c r="AI49" s="237"/>
      <c r="AJ49" s="237"/>
    </row>
    <row r="50" spans="8:36" ht="13.5" thickBot="1" x14ac:dyDescent="0.25">
      <c r="P50" s="358"/>
      <c r="Q50" s="375" t="str">
        <f t="shared" si="4"/>
        <v>Ln50</v>
      </c>
      <c r="R50" s="503" t="str">
        <f>IF(AND(C7&gt;0,D17=0),"WARN","OK")</f>
        <v>OK</v>
      </c>
      <c r="S50" s="506" t="s">
        <v>112</v>
      </c>
      <c r="T50" s="507"/>
      <c r="U50" s="357"/>
      <c r="V50" s="357"/>
      <c r="W50" s="357"/>
      <c r="X50" s="357"/>
      <c r="Y50" s="458" t="s">
        <v>57</v>
      </c>
      <c r="Z50" s="459">
        <f>AA49</f>
        <v>2950</v>
      </c>
      <c r="AA50" s="460">
        <f>AC32</f>
        <v>2950</v>
      </c>
      <c r="AB50" s="461">
        <f>+AA50-Z50</f>
        <v>0</v>
      </c>
      <c r="AC50" s="462">
        <f>IF(AD50=AD49,AC49,AD49)</f>
        <v>39</v>
      </c>
      <c r="AD50" s="463">
        <f>AH32</f>
        <v>46</v>
      </c>
      <c r="AE50" s="464">
        <f>AD50-AC50</f>
        <v>7</v>
      </c>
      <c r="AF50" s="465">
        <f>IF(OR(AB50=0,AE50=0),0,ROUND(AE50/AB50,5))</f>
        <v>0</v>
      </c>
      <c r="AG50" s="466">
        <f ca="1">IF(AND(AA44&gt;=Z50,AA44&lt;AA50),AC50+((AA44-Z50)*AF50),AC50)</f>
        <v>39</v>
      </c>
      <c r="AH50" s="217">
        <f>AH49</f>
        <v>46</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358"/>
      <c r="Q51" s="375" t="str">
        <f t="shared" si="4"/>
        <v>Ln51</v>
      </c>
      <c r="R51" s="503" t="str">
        <f>IF(D18&gt;D15,"ERR","OK")</f>
        <v>OK</v>
      </c>
      <c r="S51" s="506" t="s">
        <v>94</v>
      </c>
      <c r="T51" s="507"/>
      <c r="U51" s="357"/>
      <c r="V51" s="357"/>
      <c r="W51" s="357"/>
      <c r="X51" s="357"/>
      <c r="Y51" s="357"/>
      <c r="Z51" s="357"/>
      <c r="AA51" s="357"/>
      <c r="AB51" s="357"/>
      <c r="AC51" s="357"/>
      <c r="AD51" s="357"/>
      <c r="AE51" s="357"/>
      <c r="AF51" s="357"/>
      <c r="AG51" s="357"/>
      <c r="AH51" s="357"/>
      <c r="AI51" s="237"/>
      <c r="AJ51" s="237"/>
    </row>
    <row r="52" spans="8:36" x14ac:dyDescent="0.2">
      <c r="I52" s="758"/>
      <c r="J52" s="762"/>
      <c r="K52" s="762"/>
      <c r="L52" s="762"/>
      <c r="M52" s="763"/>
      <c r="P52" s="358"/>
      <c r="Q52" s="375" t="str">
        <f t="shared" si="4"/>
        <v>Ln52</v>
      </c>
      <c r="R52" s="503" t="str">
        <f>IF(OR(D15=0,D16=0,D17=0),"WARN","OK")</f>
        <v>WARN</v>
      </c>
      <c r="S52" s="506" t="s">
        <v>110</v>
      </c>
      <c r="T52" s="507"/>
      <c r="U52" s="357"/>
      <c r="V52" s="357"/>
      <c r="W52" s="357"/>
      <c r="X52" s="357"/>
      <c r="Y52" s="357"/>
      <c r="Z52" s="357"/>
      <c r="AA52" s="357"/>
      <c r="AB52" s="357"/>
      <c r="AC52" s="357"/>
      <c r="AD52" s="357"/>
      <c r="AE52" s="357"/>
      <c r="AF52" s="357"/>
      <c r="AG52" s="357"/>
      <c r="AH52" s="357"/>
      <c r="AI52" s="237"/>
      <c r="AJ52" s="237"/>
    </row>
    <row r="53" spans="8:36" ht="13.5" thickBot="1" x14ac:dyDescent="0.25">
      <c r="I53" s="759"/>
      <c r="J53" s="764"/>
      <c r="K53" s="764"/>
      <c r="L53" s="764"/>
      <c r="M53" s="765"/>
      <c r="P53" s="358"/>
      <c r="Q53" s="375" t="str">
        <f t="shared" si="4"/>
        <v>Ln53</v>
      </c>
      <c r="R53" s="503" t="str">
        <f>IF(AND(D15&gt;0,D16&gt;0,D18&gt;0,T43&lt;1),"WARN","OK")</f>
        <v>OK</v>
      </c>
      <c r="S53" s="506" t="s">
        <v>90</v>
      </c>
      <c r="T53" s="507"/>
      <c r="U53" s="357"/>
      <c r="V53" s="357"/>
      <c r="W53" s="357"/>
      <c r="X53" s="357"/>
      <c r="Y53" s="357"/>
      <c r="Z53" s="357"/>
      <c r="AA53" s="357"/>
      <c r="AB53" s="357"/>
      <c r="AC53" s="357"/>
      <c r="AD53" s="357"/>
      <c r="AE53" s="357"/>
      <c r="AF53" s="357"/>
      <c r="AG53" s="357"/>
      <c r="AH53" s="357"/>
      <c r="AI53" s="237"/>
      <c r="AJ53" s="237"/>
    </row>
    <row r="54" spans="8:36" ht="13.5" thickTop="1" x14ac:dyDescent="0.2">
      <c r="I54" s="650" t="str">
        <f>IF(C4&lt;&gt;9999,"","Env "&amp;Z23&amp;"  "&amp;AA23&amp;"  "&amp;AA24&amp;"  "&amp;AA25&amp;"  "&amp;AA26&amp;"     "&amp;AC23&amp;"  "&amp;AD23&amp;"  "&amp;AD24&amp;"  "&amp;AD25&amp;"  "&amp;AD26)</f>
        <v/>
      </c>
      <c r="P54" s="358"/>
      <c r="Q54" s="357"/>
      <c r="R54" s="357"/>
      <c r="S54" s="357"/>
      <c r="T54" s="357"/>
      <c r="U54" s="357"/>
      <c r="V54" s="357"/>
      <c r="W54" s="357"/>
      <c r="X54" s="357"/>
      <c r="Y54" s="357"/>
      <c r="Z54" s="357"/>
      <c r="AA54" s="357"/>
      <c r="AB54" s="357"/>
      <c r="AC54" s="357"/>
      <c r="AD54" s="357"/>
      <c r="AE54" s="357"/>
      <c r="AF54" s="357"/>
      <c r="AG54" s="357"/>
      <c r="AH54" s="357"/>
      <c r="AI54" s="237"/>
      <c r="AJ54" s="237"/>
    </row>
    <row r="55" spans="8:36" x14ac:dyDescent="0.2">
      <c r="I55" s="651" t="str">
        <f>IF(C4&lt;&gt;9999,"","Fuel  T "&amp;T19&amp;"   F "&amp;T18&amp;"      Load   0 "&amp;U37&amp;"  T "&amp;U38&amp;"  F "&amp;U39)</f>
        <v/>
      </c>
      <c r="P55" s="358"/>
      <c r="Q55" s="357"/>
      <c r="R55" s="357"/>
      <c r="S55" s="357"/>
      <c r="T55" s="357"/>
      <c r="U55" s="357"/>
      <c r="V55" s="357"/>
      <c r="W55" s="357"/>
      <c r="X55" s="357"/>
      <c r="Y55" s="357"/>
      <c r="Z55" s="357"/>
      <c r="AA55" s="357"/>
      <c r="AB55" s="357"/>
      <c r="AC55" s="357"/>
      <c r="AD55" s="357"/>
      <c r="AE55" s="357"/>
      <c r="AF55" s="357"/>
      <c r="AG55" s="357"/>
      <c r="AH55" s="357"/>
      <c r="AI55" s="237"/>
      <c r="AJ55" s="237"/>
    </row>
    <row r="56" spans="8:36" x14ac:dyDescent="0.2">
      <c r="P56" s="358"/>
      <c r="Q56" s="357"/>
      <c r="R56" s="357"/>
      <c r="S56" s="357"/>
      <c r="T56" s="357"/>
      <c r="U56" s="357"/>
      <c r="V56" s="357"/>
      <c r="W56" s="357"/>
      <c r="X56" s="357"/>
      <c r="Y56" s="357"/>
      <c r="Z56" s="357"/>
      <c r="AA56" s="357"/>
      <c r="AB56" s="357"/>
      <c r="AC56" s="357"/>
      <c r="AD56" s="357"/>
      <c r="AE56" s="357"/>
      <c r="AF56" s="357"/>
      <c r="AG56" s="357"/>
      <c r="AH56" s="357"/>
      <c r="AI56" s="237"/>
      <c r="AJ56" s="237"/>
    </row>
  </sheetData>
  <sheetProtection algorithmName="SHA-512" hashValue="88tRrohrWc7f/YuwQecnYrf7f7++CkeDE5dlo0JnUUdezFp2FI4suhCyDKAhjDTtSCSxbqM1I7qtFUd6x2+VQg==" saltValue="BPi9cbqeZlrbYFnd+nsN/g==" spinCount="100000" sheet="1" selectLockedCells="1"/>
  <mergeCells count="45">
    <mergeCell ref="C4:D4"/>
    <mergeCell ref="B1:H1"/>
    <mergeCell ref="C2:E2"/>
    <mergeCell ref="J2:K2"/>
    <mergeCell ref="D3:F3"/>
    <mergeCell ref="J3:K3"/>
    <mergeCell ref="B7:B8"/>
    <mergeCell ref="C7:D8"/>
    <mergeCell ref="E7:F8"/>
    <mergeCell ref="B9:B10"/>
    <mergeCell ref="C9:D10"/>
    <mergeCell ref="E9:F10"/>
    <mergeCell ref="C11:F11"/>
    <mergeCell ref="AA11:AB11"/>
    <mergeCell ref="AF11:AG11"/>
    <mergeCell ref="C12:F12"/>
    <mergeCell ref="AA12:AB12"/>
    <mergeCell ref="AF12:AG12"/>
    <mergeCell ref="AH13:AH15"/>
    <mergeCell ref="D15:E15"/>
    <mergeCell ref="D16:E16"/>
    <mergeCell ref="B21:B22"/>
    <mergeCell ref="C21:F22"/>
    <mergeCell ref="D17:E17"/>
    <mergeCell ref="AF17:AG17"/>
    <mergeCell ref="D18:E18"/>
    <mergeCell ref="D13:E13"/>
    <mergeCell ref="AC13:AC15"/>
    <mergeCell ref="C23:F23"/>
    <mergeCell ref="C24:F24"/>
    <mergeCell ref="AH37:AH39"/>
    <mergeCell ref="C25:F25"/>
    <mergeCell ref="D28:E28"/>
    <mergeCell ref="F28:H28"/>
    <mergeCell ref="D29:E29"/>
    <mergeCell ref="D30:E30"/>
    <mergeCell ref="F30:H30"/>
    <mergeCell ref="I51:I53"/>
    <mergeCell ref="J51:M53"/>
    <mergeCell ref="AF35:AG35"/>
    <mergeCell ref="AA36:AB36"/>
    <mergeCell ref="AF36:AG36"/>
    <mergeCell ref="AC37:AC39"/>
    <mergeCell ref="AF41:AG41"/>
    <mergeCell ref="AA35:AB35"/>
  </mergeCells>
  <conditionalFormatting sqref="T37:T38">
    <cfRule type="expression" dxfId="438" priority="18" stopIfTrue="1">
      <formula>S37=""</formula>
    </cfRule>
  </conditionalFormatting>
  <conditionalFormatting sqref="I26 I28">
    <cfRule type="expression" dxfId="437" priority="19" stopIfTrue="1">
      <formula>E7=""</formula>
    </cfRule>
  </conditionalFormatting>
  <conditionalFormatting sqref="I27 I29:I30">
    <cfRule type="expression" dxfId="436" priority="20" stopIfTrue="1">
      <formula>C9=""</formula>
    </cfRule>
  </conditionalFormatting>
  <conditionalFormatting sqref="U37:U39 V19">
    <cfRule type="expression" dxfId="435" priority="21" stopIfTrue="1">
      <formula>S19=""</formula>
    </cfRule>
  </conditionalFormatting>
  <conditionalFormatting sqref="C25">
    <cfRule type="expression" dxfId="434" priority="22" stopIfTrue="1">
      <formula>AND(C7="",E7+C9+E9&gt;0)</formula>
    </cfRule>
  </conditionalFormatting>
  <conditionalFormatting sqref="B30">
    <cfRule type="expression" dxfId="433" priority="23" stopIfTrue="1">
      <formula>D29&gt;D28</formula>
    </cfRule>
  </conditionalFormatting>
  <conditionalFormatting sqref="D30:E30">
    <cfRule type="expression" dxfId="432" priority="24" stopIfTrue="1">
      <formula>D29&gt;D28</formula>
    </cfRule>
  </conditionalFormatting>
  <conditionalFormatting sqref="F30:H30">
    <cfRule type="expression" dxfId="431" priority="25" stopIfTrue="1">
      <formula>D29&gt;D28</formula>
    </cfRule>
  </conditionalFormatting>
  <conditionalFormatting sqref="B23 B25">
    <cfRule type="cellIs" dxfId="430" priority="26" stopIfTrue="1" operator="notEqual">
      <formula>""</formula>
    </cfRule>
  </conditionalFormatting>
  <conditionalFormatting sqref="B24">
    <cfRule type="cellIs" dxfId="429" priority="27" stopIfTrue="1" operator="notEqual">
      <formula>""</formula>
    </cfRule>
  </conditionalFormatting>
  <conditionalFormatting sqref="R46:R53 R8 R10 R29:R30 R33">
    <cfRule type="cellIs" dxfId="428" priority="28" stopIfTrue="1" operator="notEqual">
      <formula>""</formula>
    </cfRule>
  </conditionalFormatting>
  <conditionalFormatting sqref="S37:S39">
    <cfRule type="expression" dxfId="427" priority="29" stopIfTrue="1">
      <formula>S37=""</formula>
    </cfRule>
  </conditionalFormatting>
  <conditionalFormatting sqref="R18">
    <cfRule type="cellIs" dxfId="426" priority="30" stopIfTrue="1" operator="notEqual">
      <formula>""</formula>
    </cfRule>
  </conditionalFormatting>
  <conditionalFormatting sqref="J5">
    <cfRule type="expression" dxfId="425" priority="31" stopIfTrue="1">
      <formula>expired=TRUE</formula>
    </cfRule>
  </conditionalFormatting>
  <conditionalFormatting sqref="B1:H1">
    <cfRule type="expression" dxfId="424" priority="32" stopIfTrue="1">
      <formula>expired=TRUE</formula>
    </cfRule>
    <cfRule type="expression" dxfId="423" priority="33" stopIfTrue="1">
      <formula>old_ver=TRUE</formula>
    </cfRule>
  </conditionalFormatting>
  <conditionalFormatting sqref="I3">
    <cfRule type="expression" dxfId="422" priority="34" stopIfTrue="1">
      <formula>D3=""</formula>
    </cfRule>
  </conditionalFormatting>
  <conditionalFormatting sqref="J2">
    <cfRule type="expression" dxfId="421" priority="35" stopIfTrue="1">
      <formula>D3=""</formula>
    </cfRule>
  </conditionalFormatting>
  <conditionalFormatting sqref="L2">
    <cfRule type="expression" dxfId="420" priority="36" stopIfTrue="1">
      <formula>D3=""</formula>
    </cfRule>
  </conditionalFormatting>
  <conditionalFormatting sqref="L3">
    <cfRule type="expression" dxfId="419" priority="37" stopIfTrue="1">
      <formula>D3=""</formula>
    </cfRule>
  </conditionalFormatting>
  <conditionalFormatting sqref="J3:K3">
    <cfRule type="expression" dxfId="418" priority="38" stopIfTrue="1">
      <formula>D3=""</formula>
    </cfRule>
  </conditionalFormatting>
  <conditionalFormatting sqref="I2">
    <cfRule type="expression" dxfId="417" priority="39" stopIfTrue="1">
      <formula>AND(D3="",C2="")</formula>
    </cfRule>
  </conditionalFormatting>
  <conditionalFormatting sqref="V21">
    <cfRule type="expression" dxfId="416" priority="17" stopIfTrue="1">
      <formula>T21=""</formula>
    </cfRule>
  </conditionalFormatting>
  <conditionalFormatting sqref="E21:E22">
    <cfRule type="expression" dxfId="415" priority="40" stopIfTrue="1">
      <formula>OR(AC19="out",AF19="out")</formula>
    </cfRule>
  </conditionalFormatting>
  <conditionalFormatting sqref="M17">
    <cfRule type="expression" dxfId="414" priority="41" stopIfTrue="1">
      <formula>AE19="out"</formula>
    </cfRule>
  </conditionalFormatting>
  <conditionalFormatting sqref="K17">
    <cfRule type="expression" dxfId="413" priority="42" stopIfTrue="1">
      <formula>AE19&lt;&gt;"OK"</formula>
    </cfRule>
  </conditionalFormatting>
  <conditionalFormatting sqref="F21:F22">
    <cfRule type="expression" dxfId="412" priority="43" stopIfTrue="1">
      <formula>OR(AE19="out",AG19="out")</formula>
    </cfRule>
  </conditionalFormatting>
  <conditionalFormatting sqref="C21:C22">
    <cfRule type="expression" dxfId="411" priority="44" stopIfTrue="1">
      <formula>OR(AA19="out",AE19="out")</formula>
    </cfRule>
  </conditionalFormatting>
  <conditionalFormatting sqref="D21:D22">
    <cfRule type="expression" dxfId="410" priority="45" stopIfTrue="1">
      <formula>OR(AB19="out",#REF!="out")</formula>
    </cfRule>
  </conditionalFormatting>
  <conditionalFormatting sqref="K20">
    <cfRule type="expression" dxfId="409" priority="46" stopIfTrue="1">
      <formula>AE43&lt;&gt;"OK"</formula>
    </cfRule>
  </conditionalFormatting>
  <conditionalFormatting sqref="J16">
    <cfRule type="expression" dxfId="408" priority="47" stopIfTrue="1">
      <formula>R8&lt;&gt;"OK"</formula>
    </cfRule>
  </conditionalFormatting>
  <conditionalFormatting sqref="J19">
    <cfRule type="expression" dxfId="407" priority="48" stopIfTrue="1">
      <formula>R10&lt;&gt;"OK"</formula>
    </cfRule>
  </conditionalFormatting>
  <conditionalFormatting sqref="B21">
    <cfRule type="expression" dxfId="406" priority="49" stopIfTrue="1">
      <formula>R10&lt;&gt;"OK"</formula>
    </cfRule>
    <cfRule type="expression" dxfId="405" priority="50" stopIfTrue="1">
      <formula>R11&lt;&gt;"OK"</formula>
    </cfRule>
  </conditionalFormatting>
  <conditionalFormatting sqref="V27">
    <cfRule type="expression" dxfId="404" priority="15" stopIfTrue="1">
      <formula>T27=""</formula>
    </cfRule>
  </conditionalFormatting>
  <conditionalFormatting sqref="V26">
    <cfRule type="expression" dxfId="403" priority="16" stopIfTrue="1">
      <formula>S26=""</formula>
    </cfRule>
  </conditionalFormatting>
  <conditionalFormatting sqref="D15:E15">
    <cfRule type="expression" dxfId="402" priority="51" stopIfTrue="1">
      <formula>R18="err"</formula>
    </cfRule>
  </conditionalFormatting>
  <conditionalFormatting sqref="F23">
    <cfRule type="expression" dxfId="401" priority="52" stopIfTrue="1">
      <formula>#REF!&lt;&gt;"OK"</formula>
    </cfRule>
  </conditionalFormatting>
  <conditionalFormatting sqref="M16">
    <cfRule type="expression" dxfId="400" priority="53" stopIfTrue="1">
      <formula>J16&gt;U8</formula>
    </cfRule>
  </conditionalFormatting>
  <conditionalFormatting sqref="V18">
    <cfRule type="expression" dxfId="399" priority="54" stopIfTrue="1">
      <formula>S18=""</formula>
    </cfRule>
  </conditionalFormatting>
  <conditionalFormatting sqref="R31">
    <cfRule type="cellIs" dxfId="398" priority="14" stopIfTrue="1" operator="notEqual">
      <formula>""</formula>
    </cfRule>
  </conditionalFormatting>
  <conditionalFormatting sqref="R34">
    <cfRule type="cellIs" dxfId="397" priority="13" stopIfTrue="1" operator="notEqual">
      <formula>""</formula>
    </cfRule>
  </conditionalFormatting>
  <conditionalFormatting sqref="R32">
    <cfRule type="cellIs" dxfId="396" priority="12" stopIfTrue="1" operator="notEqual">
      <formula>""</formula>
    </cfRule>
  </conditionalFormatting>
  <conditionalFormatting sqref="B22">
    <cfRule type="expression" dxfId="395" priority="55" stopIfTrue="1">
      <formula>R11&lt;&gt;"OK"</formula>
    </cfRule>
    <cfRule type="expression" dxfId="394" priority="56" stopIfTrue="1">
      <formula>R29&lt;&gt;"OK"</formula>
    </cfRule>
  </conditionalFormatting>
  <conditionalFormatting sqref="C12">
    <cfRule type="expression" dxfId="393" priority="57" stopIfTrue="1">
      <formula>R30="ERR"</formula>
    </cfRule>
  </conditionalFormatting>
  <conditionalFormatting sqref="C11">
    <cfRule type="expression" dxfId="392" priority="58" stopIfTrue="1">
      <formula>R29="ERR"</formula>
    </cfRule>
  </conditionalFormatting>
  <conditionalFormatting sqref="C23:E23">
    <cfRule type="expression" dxfId="391" priority="59" stopIfTrue="1">
      <formula>R53&lt;&gt;"OK"</formula>
    </cfRule>
  </conditionalFormatting>
  <conditionalFormatting sqref="C7:D8">
    <cfRule type="expression" dxfId="390" priority="60" stopIfTrue="1">
      <formula>R46&lt;&gt;"OK"</formula>
    </cfRule>
  </conditionalFormatting>
  <conditionalFormatting sqref="D18:E18">
    <cfRule type="expression" dxfId="389" priority="61" stopIfTrue="1">
      <formula>R51&lt;&gt;"OK"</formula>
    </cfRule>
  </conditionalFormatting>
  <conditionalFormatting sqref="B18 B20">
    <cfRule type="expression" dxfId="388" priority="62" stopIfTrue="1">
      <formula>R51&lt;&gt;"OK"</formula>
    </cfRule>
  </conditionalFormatting>
  <conditionalFormatting sqref="D19">
    <cfRule type="expression" dxfId="387" priority="63" stopIfTrue="1">
      <formula>R53&lt;&gt;"ok"</formula>
    </cfRule>
  </conditionalFormatting>
  <conditionalFormatting sqref="D13:E13">
    <cfRule type="expression" dxfId="386" priority="64">
      <formula>AND(R34="ERR",D13&lt;&gt;0)</formula>
    </cfRule>
    <cfRule type="expression" dxfId="385" priority="65" stopIfTrue="1">
      <formula>R31="ERR"</formula>
    </cfRule>
  </conditionalFormatting>
  <conditionalFormatting sqref="C12:F12">
    <cfRule type="expression" dxfId="384" priority="66" stopIfTrue="1">
      <formula>AND(C12&lt;&gt;0,R33="ERR")</formula>
    </cfRule>
    <cfRule type="expression" dxfId="383" priority="67" stopIfTrue="1">
      <formula>AND(R34="ERR",C12&lt;&gt;0)</formula>
    </cfRule>
  </conditionalFormatting>
  <conditionalFormatting sqref="C11:F11">
    <cfRule type="expression" dxfId="382" priority="68" stopIfTrue="1">
      <formula>R33="ERR"</formula>
    </cfRule>
    <cfRule type="expression" dxfId="381" priority="69" stopIfTrue="1">
      <formula>R32="ERR"</formula>
    </cfRule>
  </conditionalFormatting>
  <conditionalFormatting sqref="S21">
    <cfRule type="expression" dxfId="380" priority="11" stopIfTrue="1">
      <formula>T21=""</formula>
    </cfRule>
  </conditionalFormatting>
  <conditionalFormatting sqref="S22:S23">
    <cfRule type="expression" dxfId="379" priority="10" stopIfTrue="1">
      <formula>S22=""</formula>
    </cfRule>
  </conditionalFormatting>
  <conditionalFormatting sqref="S20">
    <cfRule type="expression" dxfId="378" priority="8">
      <formula>AND(OR(T20="",LEFT(T20,1)="F"),T18&lt;&gt;T19)</formula>
    </cfRule>
    <cfRule type="expression" dxfId="377" priority="9">
      <formula>AND(LEFT(T20,1)&lt;&gt;"F",T18=T19)</formula>
    </cfRule>
  </conditionalFormatting>
  <conditionalFormatting sqref="R20">
    <cfRule type="cellIs" dxfId="376" priority="7" stopIfTrue="1" operator="notEqual">
      <formula>""</formula>
    </cfRule>
  </conditionalFormatting>
  <conditionalFormatting sqref="V20">
    <cfRule type="expression" dxfId="375" priority="6" stopIfTrue="1">
      <formula>T20=""</formula>
    </cfRule>
  </conditionalFormatting>
  <conditionalFormatting sqref="S12:S15">
    <cfRule type="expression" dxfId="374" priority="5" stopIfTrue="1">
      <formula>S12=""</formula>
    </cfRule>
  </conditionalFormatting>
  <conditionalFormatting sqref="R11">
    <cfRule type="cellIs" dxfId="373" priority="4" stopIfTrue="1" operator="notEqual">
      <formula>""</formula>
    </cfRule>
  </conditionalFormatting>
  <conditionalFormatting sqref="S19">
    <cfRule type="expression" dxfId="372" priority="3" stopIfTrue="1">
      <formula>#REF!=""</formula>
    </cfRule>
  </conditionalFormatting>
  <conditionalFormatting sqref="C24:F24">
    <cfRule type="cellIs" dxfId="371" priority="2" stopIfTrue="1" operator="notEqual">
      <formula>""</formula>
    </cfRule>
  </conditionalFormatting>
  <conditionalFormatting sqref="I4">
    <cfRule type="expression" dxfId="370" priority="1" stopIfTrue="1">
      <formula>K3&gt;K2</formula>
    </cfRule>
  </conditionalFormatting>
  <dataValidations count="3">
    <dataValidation type="list" showInputMessage="1" showErrorMessage="1" errorTitle="STANDARD FUELING LEVEL" error="STANDARD FUELING LEVEL MUST BE ENTERED:_x000a_TABS,_x000a_Measured,_x000a_FULL" sqref="T20" xr:uid="{DC90151A-931F-4623-AC4F-F6E7F7C56945}">
      <formula1>"TABS,Measured,FULL"</formula1>
    </dataValidation>
    <dataValidation type="custom" allowBlank="1" showInputMessage="1" showErrorMessage="1" errorTitle="Input Error" error="Entry must be a NUMERIC VALUE!" sqref="D15:E17 C7:F12" xr:uid="{D4FA0805-C24E-4D14-95EB-B910078C8E93}">
      <formula1>ISNUMBER(C7)</formula1>
    </dataValidation>
    <dataValidation type="date" allowBlank="1" showInputMessage="1" showErrorMessage="1" errorTitle="Input Error" error="A valid date must be entered into this cell.  Enter as  mm/dd/yy  _x000a__x000a_" sqref="C2:E2" xr:uid="{942325ED-B12F-420F-9003-A11F5C24D272}">
      <formula1>36526</formula1>
      <formula2>44196</formula2>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0000FF"/>
    <pageSetUpPr fitToPage="1"/>
  </sheetPr>
  <dimension ref="B1:AJ56"/>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5" width="4.7109375" customWidth="1"/>
    <col min="16" max="16" width="11.7109375" style="41" hidden="1" customWidth="1"/>
    <col min="17" max="17" width="9.7109375" style="41" hidden="1" customWidth="1"/>
    <col min="18" max="18" width="8.42578125" style="41" hidden="1" customWidth="1"/>
    <col min="19" max="19" width="19" style="41" hidden="1" customWidth="1"/>
    <col min="20" max="22" width="7.7109375" style="41" hidden="1" customWidth="1"/>
    <col min="23" max="23" width="29.42578125" style="41" hidden="1" customWidth="1"/>
    <col min="24" max="24" width="4.7109375" style="41" hidden="1" customWidth="1"/>
    <col min="25" max="25" width="3.5703125" style="41" hidden="1" customWidth="1"/>
    <col min="26" max="33" width="9.140625" style="41" hidden="1" customWidth="1"/>
    <col min="34" max="34" width="9.5703125" style="41" hidden="1" customWidth="1"/>
    <col min="35" max="36" width="9" hidden="1" customWidth="1"/>
    <col min="37" max="37" width="8.140625" customWidth="1"/>
  </cols>
  <sheetData>
    <row r="1" spans="2:36" ht="22.15" customHeight="1" thickBot="1" x14ac:dyDescent="0.25">
      <c r="B1" s="807" t="str">
        <f ca="1">status_msg</f>
        <v/>
      </c>
      <c r="C1" s="807"/>
      <c r="D1" s="807"/>
      <c r="E1" s="807"/>
      <c r="F1" s="807"/>
      <c r="G1" s="807"/>
      <c r="H1" s="807"/>
      <c r="I1" s="514" t="str">
        <f>Q1</f>
        <v>CAP 1259</v>
      </c>
      <c r="J1" s="514" t="str">
        <f>R1</f>
        <v>N759PJ</v>
      </c>
      <c r="K1" s="515"/>
      <c r="L1" s="516" t="str">
        <f>S1</f>
        <v>(230hp C182Q) Long Range Tanks</v>
      </c>
      <c r="M1" s="517"/>
      <c r="P1" s="354" t="s">
        <v>178</v>
      </c>
      <c r="Q1" s="355" t="s">
        <v>129</v>
      </c>
      <c r="R1" s="355" t="s">
        <v>233</v>
      </c>
      <c r="S1" s="356" t="s">
        <v>182</v>
      </c>
      <c r="T1" s="356"/>
      <c r="U1" s="357"/>
      <c r="V1" s="357"/>
      <c r="W1" s="357"/>
      <c r="X1" s="357"/>
      <c r="Y1" s="357"/>
      <c r="Z1" s="357"/>
      <c r="AA1" s="357"/>
      <c r="AB1" s="357"/>
      <c r="AC1" s="357"/>
      <c r="AD1" s="357"/>
      <c r="AE1" s="357"/>
      <c r="AF1" s="357"/>
      <c r="AG1" s="357"/>
      <c r="AH1" s="357"/>
      <c r="AI1" s="237"/>
      <c r="AJ1" s="237"/>
    </row>
    <row r="2" spans="2:36" ht="15" customHeight="1" thickTop="1" thickBot="1" x14ac:dyDescent="0.25">
      <c r="B2" s="137" t="s">
        <v>131</v>
      </c>
      <c r="C2" s="808"/>
      <c r="D2" s="808"/>
      <c r="E2" s="809"/>
      <c r="F2" s="142" t="str">
        <f>IF(D3="","mm/dd/yy","(if not today)")</f>
        <v>mm/dd/yy</v>
      </c>
      <c r="H2" s="351"/>
      <c r="I2" s="138" t="s">
        <v>131</v>
      </c>
      <c r="J2" s="810" t="str">
        <f>IF(C3="","","Mission Symbol")&amp;"   Mission No:"</f>
        <v xml:space="preserve">   Mission No:</v>
      </c>
      <c r="K2" s="810"/>
      <c r="L2" s="353" t="s">
        <v>130</v>
      </c>
      <c r="P2" s="358"/>
      <c r="Q2" s="359" t="s">
        <v>173</v>
      </c>
      <c r="R2" s="359" t="s">
        <v>145</v>
      </c>
      <c r="S2" s="360" t="s">
        <v>172</v>
      </c>
      <c r="T2" s="361"/>
      <c r="U2" s="357"/>
      <c r="V2" s="357"/>
      <c r="W2" s="357"/>
      <c r="X2" s="357"/>
      <c r="Y2" s="357"/>
      <c r="Z2" s="357"/>
      <c r="AA2" s="357"/>
      <c r="AB2" s="357"/>
      <c r="AC2" s="357"/>
      <c r="AD2" s="357"/>
      <c r="AE2" s="357"/>
      <c r="AF2" s="357"/>
      <c r="AG2" s="357"/>
      <c r="AH2" s="357"/>
      <c r="AI2" s="237"/>
      <c r="AJ2" s="237"/>
    </row>
    <row r="3" spans="2:36" ht="15" customHeight="1" thickTop="1" thickBot="1" x14ac:dyDescent="0.25">
      <c r="B3" s="140" t="s">
        <v>137</v>
      </c>
      <c r="C3" s="352"/>
      <c r="D3" s="811"/>
      <c r="E3" s="811"/>
      <c r="F3" s="812"/>
      <c r="I3" s="131" t="str">
        <f ca="1">IF(AND(D3="",C2=""),"",IF(C2="",TODAY(),C2))</f>
        <v/>
      </c>
      <c r="J3" s="813" t="str">
        <f>IF(C3="","",IF(D3="","",C3))&amp;"      "&amp;IF(D3="","",D3)</f>
        <v xml:space="preserve">      </v>
      </c>
      <c r="K3" s="814"/>
      <c r="L3" s="132" t="str">
        <f>IF(C4="","",C4)</f>
        <v/>
      </c>
      <c r="P3" s="362"/>
      <c r="Q3" s="363"/>
      <c r="R3" s="363"/>
      <c r="S3" s="357"/>
      <c r="T3" s="357"/>
      <c r="U3" s="357"/>
      <c r="V3" s="357"/>
      <c r="W3" s="357"/>
      <c r="X3" s="357"/>
      <c r="Y3" s="357"/>
      <c r="Z3" s="364"/>
      <c r="AA3" s="357"/>
      <c r="AB3" s="365"/>
      <c r="AC3" s="357"/>
      <c r="AD3" s="357"/>
      <c r="AE3" s="357"/>
      <c r="AF3" s="357"/>
      <c r="AG3" s="357"/>
      <c r="AH3" s="357"/>
      <c r="AI3" s="237"/>
      <c r="AJ3" s="237"/>
    </row>
    <row r="4" spans="2:36" ht="12" customHeight="1" thickTop="1" x14ac:dyDescent="0.2">
      <c r="B4" s="140" t="s">
        <v>130</v>
      </c>
      <c r="C4" s="822"/>
      <c r="D4" s="823"/>
      <c r="E4" s="140"/>
      <c r="J4" s="139"/>
      <c r="P4" s="553" t="s">
        <v>222</v>
      </c>
      <c r="Q4" s="366"/>
      <c r="R4" s="366"/>
      <c r="S4" s="357"/>
      <c r="T4" s="367" t="s">
        <v>98</v>
      </c>
      <c r="U4" s="368"/>
      <c r="V4" s="369" t="s">
        <v>99</v>
      </c>
      <c r="W4" s="357"/>
      <c r="X4" s="357"/>
      <c r="Y4" s="357"/>
      <c r="Z4" s="357"/>
      <c r="AA4" s="357"/>
      <c r="AB4" s="357"/>
      <c r="AC4" s="357"/>
      <c r="AD4" s="357"/>
      <c r="AE4" s="357"/>
      <c r="AF4" s="357"/>
      <c r="AG4" s="357"/>
      <c r="AH4" s="357"/>
      <c r="AI4" s="237"/>
      <c r="AJ4" s="237"/>
    </row>
    <row r="5" spans="2:36" ht="12" customHeight="1" x14ac:dyDescent="0.2">
      <c r="I5" s="35"/>
      <c r="J5" s="36"/>
      <c r="K5" s="36"/>
      <c r="L5" s="36"/>
      <c r="M5" s="134" t="str">
        <f>"Release ID:   "&amp;release_nbr&amp;"    "&amp;TEXT(release_date,"dd mmm yyyy  ")</f>
        <v xml:space="preserve">Release ID:   R1    21 Mar 2020  </v>
      </c>
      <c r="P5" s="362"/>
      <c r="Q5" s="357"/>
      <c r="R5" s="357"/>
      <c r="S5" s="357"/>
      <c r="T5" s="357"/>
      <c r="U5" s="357"/>
      <c r="V5" s="357"/>
      <c r="W5" s="357"/>
      <c r="X5" s="357"/>
      <c r="Y5" s="357"/>
      <c r="Z5" s="357"/>
      <c r="AA5" s="357"/>
      <c r="AB5" s="357"/>
      <c r="AC5" s="357"/>
      <c r="AD5" s="357"/>
      <c r="AE5" s="357"/>
      <c r="AF5" s="357"/>
      <c r="AG5" s="357"/>
      <c r="AH5" s="357"/>
      <c r="AI5" s="237"/>
      <c r="AJ5" s="237"/>
    </row>
    <row r="6" spans="2:36" ht="12.75" customHeight="1" thickBot="1" x14ac:dyDescent="0.35">
      <c r="B6" s="3" t="s">
        <v>31</v>
      </c>
      <c r="I6" s="37" t="s">
        <v>0</v>
      </c>
      <c r="J6" s="38" t="s">
        <v>1</v>
      </c>
      <c r="K6" s="38" t="s">
        <v>2</v>
      </c>
      <c r="L6" s="39" t="s">
        <v>97</v>
      </c>
      <c r="M6" s="133" t="s">
        <v>3</v>
      </c>
      <c r="P6" s="362"/>
      <c r="Q6" s="370" t="s">
        <v>120</v>
      </c>
      <c r="R6" s="371"/>
      <c r="S6" s="371"/>
      <c r="T6" s="371"/>
      <c r="U6" s="372" t="s">
        <v>1</v>
      </c>
      <c r="V6" s="372" t="s">
        <v>2</v>
      </c>
      <c r="W6" s="373" t="s">
        <v>179</v>
      </c>
      <c r="X6" s="357"/>
      <c r="Y6" s="357"/>
      <c r="Z6" s="357"/>
      <c r="AA6" s="357"/>
      <c r="AB6" s="374" t="s">
        <v>163</v>
      </c>
      <c r="AC6" s="371"/>
      <c r="AD6" s="371"/>
      <c r="AE6" s="371"/>
      <c r="AF6" s="371"/>
      <c r="AG6" s="371"/>
      <c r="AH6" s="357"/>
      <c r="AI6" s="237"/>
      <c r="AJ6" s="237"/>
    </row>
    <row r="7" spans="2:36" ht="15" customHeight="1" thickTop="1" thickBot="1" x14ac:dyDescent="0.25">
      <c r="B7" s="803" t="s">
        <v>32</v>
      </c>
      <c r="C7" s="802"/>
      <c r="D7" s="804"/>
      <c r="E7" s="802"/>
      <c r="F7" s="800"/>
      <c r="H7" s="1"/>
      <c r="I7" s="13" t="s">
        <v>4</v>
      </c>
      <c r="J7" s="188">
        <f>U7</f>
        <v>1885.5</v>
      </c>
      <c r="K7" s="67">
        <f>V7</f>
        <v>36.522799999999997</v>
      </c>
      <c r="L7" s="68">
        <f>ROUND(J7*K7/1000,5)</f>
        <v>68.863740000000007</v>
      </c>
      <c r="M7" s="329" t="str">
        <f>IF(W7="","",W7)</f>
        <v>25-Feb-2011 Indianapolis Aviation</v>
      </c>
      <c r="P7" s="362"/>
      <c r="Q7" s="375" t="str">
        <f>"Ln"&amp;ROW()</f>
        <v>Ln7</v>
      </c>
      <c r="R7" s="376"/>
      <c r="S7" s="377" t="s">
        <v>4</v>
      </c>
      <c r="T7" s="378"/>
      <c r="U7" s="379">
        <v>1885.5</v>
      </c>
      <c r="V7" s="518">
        <v>36.522799999999997</v>
      </c>
      <c r="W7" s="381" t="s">
        <v>183</v>
      </c>
      <c r="X7" s="357"/>
      <c r="Y7" s="357"/>
      <c r="Z7" s="357"/>
      <c r="AA7" s="357"/>
      <c r="AB7" s="357"/>
      <c r="AC7" s="382"/>
      <c r="AD7" s="383" t="s">
        <v>162</v>
      </c>
      <c r="AE7" s="357"/>
      <c r="AF7" s="357"/>
      <c r="AG7" s="357"/>
      <c r="AH7" s="357"/>
      <c r="AI7" s="237"/>
      <c r="AJ7" s="237"/>
    </row>
    <row r="8" spans="2:36" ht="15" customHeight="1" thickTop="1" thickBot="1" x14ac:dyDescent="0.25">
      <c r="B8" s="803"/>
      <c r="C8" s="802"/>
      <c r="D8" s="804"/>
      <c r="E8" s="802"/>
      <c r="F8" s="800"/>
      <c r="H8" s="1"/>
      <c r="I8" s="125" t="s">
        <v>10</v>
      </c>
      <c r="J8" s="189">
        <f>D15*6</f>
        <v>0</v>
      </c>
      <c r="K8" s="69">
        <f>U18</f>
        <v>48</v>
      </c>
      <c r="L8" s="72">
        <f t="shared" ref="L8:L13" si="0">ROUND((J8*K8)/1000,5)</f>
        <v>0</v>
      </c>
      <c r="M8" s="11" t="str">
        <f>V18&amp;" lbs Max ("&amp;T18&amp;" gals)  "&amp;IF(OR(T18=T19,T19="",T19=0),"",V19&amp;" lbs Tabs ("&amp;T19&amp;" gals)")</f>
        <v xml:space="preserve">450 lbs Max (75 gals)  </v>
      </c>
      <c r="P8" s="362"/>
      <c r="Q8" s="375" t="str">
        <f t="shared" ref="Q8:Q34" si="1">"Ln"&amp;ROW()</f>
        <v>Ln8</v>
      </c>
      <c r="R8" s="384" t="str">
        <f ca="1">IF(J16&gt;U8,"ERR","OK")</f>
        <v>OK</v>
      </c>
      <c r="S8" s="377" t="s">
        <v>168</v>
      </c>
      <c r="T8" s="378"/>
      <c r="U8" s="385">
        <v>3100</v>
      </c>
      <c r="V8" s="357"/>
      <c r="W8" s="357"/>
      <c r="X8" s="357"/>
      <c r="Y8" s="386"/>
      <c r="Z8" s="387"/>
      <c r="AA8" s="388">
        <v>3100</v>
      </c>
      <c r="AC8" s="624">
        <f>AA8</f>
        <v>3100</v>
      </c>
      <c r="AD8" s="357"/>
      <c r="AF8" s="389">
        <v>41</v>
      </c>
      <c r="AH8" s="390">
        <v>48.5</v>
      </c>
      <c r="AI8" s="237"/>
      <c r="AJ8" s="237"/>
    </row>
    <row r="9" spans="2:36" ht="15" customHeight="1" thickTop="1" thickBot="1" x14ac:dyDescent="0.25">
      <c r="B9" s="803" t="s">
        <v>33</v>
      </c>
      <c r="C9" s="802"/>
      <c r="D9" s="804"/>
      <c r="E9" s="802"/>
      <c r="F9" s="800"/>
      <c r="H9" s="1"/>
      <c r="I9" s="125" t="s">
        <v>11</v>
      </c>
      <c r="J9" s="189">
        <f>C7+E7</f>
        <v>0</v>
      </c>
      <c r="K9" s="69">
        <f>U26</f>
        <v>37</v>
      </c>
      <c r="L9" s="72">
        <f t="shared" si="0"/>
        <v>0</v>
      </c>
      <c r="M9" s="11" t="str">
        <f>IF(W26="","",W26)</f>
        <v/>
      </c>
      <c r="P9" s="362"/>
      <c r="Q9" s="375" t="str">
        <f t="shared" si="1"/>
        <v>Ln9</v>
      </c>
      <c r="R9" s="391"/>
      <c r="S9" s="377" t="s">
        <v>169</v>
      </c>
      <c r="T9" s="378"/>
      <c r="U9" s="385">
        <v>3110</v>
      </c>
      <c r="V9" s="392"/>
      <c r="W9" s="393" t="s">
        <v>176</v>
      </c>
      <c r="X9" s="357"/>
      <c r="Y9" s="394"/>
      <c r="Z9" s="395"/>
      <c r="AD9" s="357"/>
      <c r="AI9" s="237"/>
      <c r="AJ9" s="237"/>
    </row>
    <row r="10" spans="2:36" ht="15" customHeight="1" thickTop="1" thickBot="1" x14ac:dyDescent="0.3">
      <c r="B10" s="803"/>
      <c r="C10" s="802"/>
      <c r="D10" s="804"/>
      <c r="E10" s="802"/>
      <c r="F10" s="800"/>
      <c r="H10" s="1"/>
      <c r="I10" s="125" t="s">
        <v>12</v>
      </c>
      <c r="J10" s="189">
        <f>C9+E9</f>
        <v>0</v>
      </c>
      <c r="K10" s="69">
        <f>U27</f>
        <v>74</v>
      </c>
      <c r="L10" s="72">
        <f t="shared" si="0"/>
        <v>0</v>
      </c>
      <c r="M10" s="11" t="str">
        <f>IF(W27="","",W27)</f>
        <v/>
      </c>
      <c r="P10" s="362"/>
      <c r="Q10" s="375" t="str">
        <f t="shared" si="1"/>
        <v>Ln10</v>
      </c>
      <c r="R10" s="384" t="str">
        <f>IF(U8=U10,"OK",IF(J20&gt;U10,"WARN","OK"))</f>
        <v>OK</v>
      </c>
      <c r="S10" s="377" t="s">
        <v>170</v>
      </c>
      <c r="T10" s="378"/>
      <c r="U10" s="385">
        <v>2950</v>
      </c>
      <c r="V10" s="392"/>
      <c r="W10" s="393" t="s">
        <v>176</v>
      </c>
      <c r="X10" s="357"/>
      <c r="Y10" s="396" t="s">
        <v>155</v>
      </c>
      <c r="Z10" s="395"/>
      <c r="AD10" s="357"/>
      <c r="AI10" s="237"/>
      <c r="AJ10" s="237"/>
    </row>
    <row r="11" spans="2:36" ht="15" customHeight="1" thickTop="1" thickBot="1" x14ac:dyDescent="0.3">
      <c r="B11" s="6" t="s">
        <v>25</v>
      </c>
      <c r="C11" s="800"/>
      <c r="D11" s="801"/>
      <c r="E11" s="801"/>
      <c r="F11" s="802"/>
      <c r="H11" s="1"/>
      <c r="I11" s="19" t="s">
        <v>13</v>
      </c>
      <c r="J11" s="189">
        <f>C11</f>
        <v>0</v>
      </c>
      <c r="K11" s="69">
        <f>U29</f>
        <v>97</v>
      </c>
      <c r="L11" s="72">
        <f t="shared" si="0"/>
        <v>0</v>
      </c>
      <c r="M11" s="11" t="str">
        <f>V29&amp;" lbs max ("&amp;V32&amp;" max baggage 1+2+3)"</f>
        <v>120 lbs max (200 max baggage 1+2+3)</v>
      </c>
      <c r="P11" s="362"/>
      <c r="Q11" s="375" t="str">
        <f t="shared" si="1"/>
        <v>Ln11</v>
      </c>
      <c r="R11" s="384" t="str">
        <f ca="1">IF(U8=U10,"OK",IF(J19&gt;U11,"WARN","OK"))</f>
        <v>OK</v>
      </c>
      <c r="S11" s="397" t="s">
        <v>171</v>
      </c>
      <c r="T11" s="398"/>
      <c r="U11" s="399">
        <f>U10</f>
        <v>2950</v>
      </c>
      <c r="V11" s="357"/>
      <c r="W11" s="357"/>
      <c r="X11" s="357"/>
      <c r="Y11" s="396" t="s">
        <v>50</v>
      </c>
      <c r="Z11" s="395"/>
      <c r="AA11" s="766" t="s">
        <v>1</v>
      </c>
      <c r="AB11" s="766"/>
      <c r="AD11" s="357"/>
      <c r="AF11" s="766" t="s">
        <v>154</v>
      </c>
      <c r="AG11" s="766"/>
      <c r="AI11" s="237"/>
      <c r="AJ11" s="237"/>
    </row>
    <row r="12" spans="2:36" ht="15" customHeight="1" thickTop="1" thickBot="1" x14ac:dyDescent="0.3">
      <c r="B12" s="6" t="s">
        <v>26</v>
      </c>
      <c r="C12" s="800"/>
      <c r="D12" s="801"/>
      <c r="E12" s="801"/>
      <c r="F12" s="802"/>
      <c r="H12" s="1"/>
      <c r="I12" s="19" t="s">
        <v>14</v>
      </c>
      <c r="J12" s="189">
        <f>C12</f>
        <v>0</v>
      </c>
      <c r="K12" s="69">
        <f>U30</f>
        <v>116</v>
      </c>
      <c r="L12" s="72">
        <f t="shared" si="0"/>
        <v>0</v>
      </c>
      <c r="M12" s="11" t="str">
        <f>V30&amp;" lbs max  ("&amp;V34&amp;" max baggage 2+3)"</f>
        <v>80 lbs max  (80 max baggage 2+3)</v>
      </c>
      <c r="P12" s="362"/>
      <c r="Q12" s="375" t="str">
        <f t="shared" si="1"/>
        <v>Ln12</v>
      </c>
      <c r="R12" s="391"/>
      <c r="S12" s="400" t="s">
        <v>7</v>
      </c>
      <c r="T12" s="391"/>
      <c r="U12" s="391"/>
      <c r="V12" s="392"/>
      <c r="W12" s="393" t="s">
        <v>176</v>
      </c>
      <c r="X12" s="357"/>
      <c r="Y12" s="396" t="s">
        <v>56</v>
      </c>
      <c r="Z12" s="388">
        <v>2250</v>
      </c>
      <c r="AA12" s="766" t="s">
        <v>153</v>
      </c>
      <c r="AB12" s="766"/>
      <c r="AD12" s="357"/>
      <c r="AE12" s="623">
        <f>AE16</f>
        <v>33</v>
      </c>
      <c r="AF12" s="766" t="s">
        <v>153</v>
      </c>
      <c r="AG12" s="766"/>
      <c r="AI12" s="237"/>
      <c r="AJ12" s="237"/>
    </row>
    <row r="13" spans="2:36" ht="15" customHeight="1" thickTop="1" x14ac:dyDescent="0.25">
      <c r="B13" s="508" t="s">
        <v>70</v>
      </c>
      <c r="D13" s="821"/>
      <c r="E13" s="821"/>
      <c r="H13" s="1"/>
      <c r="I13" s="19" t="s">
        <v>17</v>
      </c>
      <c r="J13" s="189">
        <f>D13</f>
        <v>0</v>
      </c>
      <c r="K13" s="69">
        <f>U31</f>
        <v>129</v>
      </c>
      <c r="L13" s="72">
        <f t="shared" si="0"/>
        <v>0</v>
      </c>
      <c r="M13" s="513" t="str">
        <f>V31&amp;" Lbs Max (on shelf)"</f>
        <v>25 Lbs Max (on shelf)</v>
      </c>
      <c r="P13" s="362"/>
      <c r="Q13" s="375" t="str">
        <f t="shared" si="1"/>
        <v>Ln13</v>
      </c>
      <c r="R13" s="391"/>
      <c r="S13" s="400" t="s">
        <v>194</v>
      </c>
      <c r="T13" s="391"/>
      <c r="U13" s="391"/>
      <c r="V13" s="392"/>
      <c r="W13" s="393" t="s">
        <v>176</v>
      </c>
      <c r="X13" s="357"/>
      <c r="Y13" s="396" t="s">
        <v>57</v>
      </c>
      <c r="Z13" s="395"/>
      <c r="AC13" s="767" t="s">
        <v>157</v>
      </c>
      <c r="AD13" s="357"/>
      <c r="AH13" s="767" t="s">
        <v>167</v>
      </c>
      <c r="AI13" s="237"/>
      <c r="AJ13" s="237"/>
    </row>
    <row r="14" spans="2:36" ht="15" customHeight="1" thickBot="1" x14ac:dyDescent="0.35">
      <c r="B14" s="3"/>
      <c r="C14" s="235"/>
      <c r="D14" s="2"/>
      <c r="E14" s="2"/>
      <c r="F14" s="40" t="str">
        <f>IF(R20="err","","(Std Fueling "&amp;T19&amp;" gal ("&amp;T20&amp;"))")</f>
        <v>(Std Fueling 75 gal (FULL))</v>
      </c>
      <c r="H14" s="1"/>
      <c r="I14" s="15" t="s">
        <v>6</v>
      </c>
      <c r="J14" s="71">
        <f>SUM(J7:J13)</f>
        <v>1885.5</v>
      </c>
      <c r="K14" s="26"/>
      <c r="L14" s="70">
        <f>SUM(L7:L13)</f>
        <v>68.863740000000007</v>
      </c>
      <c r="M14" s="11" t="str">
        <f>"Max Ramp Weight: "&amp;TEXT(U9,"#,###")&amp;IF(U8&lt;&gt;U10," - Landing "&amp;TEXT(U10,"#,###"),"")</f>
        <v>Max Ramp Weight: 3,110 - Landing 2,950</v>
      </c>
      <c r="P14" s="362"/>
      <c r="Q14" s="375" t="str">
        <f t="shared" si="1"/>
        <v>Ln14</v>
      </c>
      <c r="R14" s="391"/>
      <c r="S14" s="400" t="s">
        <v>24</v>
      </c>
      <c r="T14" s="391"/>
      <c r="U14" s="391"/>
      <c r="V14" s="392"/>
      <c r="W14" s="393" t="s">
        <v>177</v>
      </c>
      <c r="X14" s="357"/>
      <c r="Y14" s="396" t="s">
        <v>156</v>
      </c>
      <c r="Z14" s="395"/>
      <c r="AC14" s="767"/>
      <c r="AD14" s="357"/>
      <c r="AH14" s="767"/>
      <c r="AI14" s="237"/>
      <c r="AJ14" s="237"/>
    </row>
    <row r="15" spans="2:36" ht="15" customHeight="1" thickTop="1" thickBot="1" x14ac:dyDescent="0.3">
      <c r="B15" s="32" t="s">
        <v>88</v>
      </c>
      <c r="C15" s="4"/>
      <c r="D15" s="793"/>
      <c r="E15" s="793"/>
      <c r="F15" s="5" t="s">
        <v>36</v>
      </c>
      <c r="H15" s="1"/>
      <c r="I15" s="16" t="s">
        <v>15</v>
      </c>
      <c r="J15" s="585">
        <f>V21</f>
        <v>-10</v>
      </c>
      <c r="K15" s="69">
        <f>U18</f>
        <v>48</v>
      </c>
      <c r="L15" s="72">
        <f>ROUND((J15*K15)/1000,5)</f>
        <v>-0.48</v>
      </c>
      <c r="M15" s="11" t="s">
        <v>16</v>
      </c>
      <c r="P15" s="362"/>
      <c r="Q15" s="375" t="str">
        <f t="shared" si="1"/>
        <v>Ln15</v>
      </c>
      <c r="R15" s="391"/>
      <c r="S15" s="400" t="s">
        <v>193</v>
      </c>
      <c r="T15" s="391"/>
      <c r="U15" s="391"/>
      <c r="V15" s="392"/>
      <c r="W15" s="393" t="s">
        <v>177</v>
      </c>
      <c r="X15" s="357"/>
      <c r="Y15" s="396" t="s">
        <v>47</v>
      </c>
      <c r="Z15" s="388">
        <v>1800</v>
      </c>
      <c r="AC15" s="792"/>
      <c r="AD15" s="357"/>
      <c r="AH15" s="792"/>
      <c r="AI15" s="237"/>
      <c r="AJ15" s="237"/>
    </row>
    <row r="16" spans="2:36" ht="15" customHeight="1" thickTop="1" thickBot="1" x14ac:dyDescent="0.25">
      <c r="B16" s="32" t="s">
        <v>35</v>
      </c>
      <c r="C16" s="2"/>
      <c r="D16" s="794"/>
      <c r="E16" s="795"/>
      <c r="F16" s="5" t="s">
        <v>108</v>
      </c>
      <c r="H16" s="1"/>
      <c r="I16" s="17" t="s">
        <v>7</v>
      </c>
      <c r="J16" s="126">
        <f ca="1">IF(expired=TRUE,9999,SUM(J14:J15))</f>
        <v>1875.5</v>
      </c>
      <c r="K16" s="73" t="s">
        <v>5</v>
      </c>
      <c r="L16" s="74">
        <f>SUM(L14:L15)</f>
        <v>68.383740000000003</v>
      </c>
      <c r="M16" s="110" t="str">
        <f>"Max Gross: "&amp;TEXT(U8,"#,##0")&amp;"   Useful Load: "&amp;TEXT(U37,"#,##0")</f>
        <v>Max Gross: 3,100   Useful Load: 1,214</v>
      </c>
      <c r="P16" s="362"/>
      <c r="Q16" s="401"/>
      <c r="R16" s="401"/>
      <c r="S16" s="401"/>
      <c r="T16" s="401"/>
      <c r="U16" s="401"/>
      <c r="V16" s="401"/>
      <c r="W16" s="401"/>
      <c r="X16" s="357"/>
      <c r="Y16" s="402"/>
      <c r="Z16" s="395"/>
      <c r="AC16" s="403">
        <f>AC8</f>
        <v>3100</v>
      </c>
      <c r="AD16" s="357"/>
      <c r="AE16" s="404">
        <v>33</v>
      </c>
      <c r="AF16" s="82"/>
      <c r="AG16" s="82"/>
      <c r="AH16" s="405">
        <f>AH8</f>
        <v>48.5</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36.461604905358577</v>
      </c>
      <c r="L17" s="75" t="s">
        <v>5</v>
      </c>
      <c r="M17" s="12" t="s">
        <v>9</v>
      </c>
      <c r="P17" s="362"/>
      <c r="Q17" s="370" t="s">
        <v>158</v>
      </c>
      <c r="R17" s="371"/>
      <c r="S17" s="371"/>
      <c r="T17" s="406" t="s">
        <v>174</v>
      </c>
      <c r="U17" s="372" t="s">
        <v>2</v>
      </c>
      <c r="V17" s="372" t="s">
        <v>118</v>
      </c>
      <c r="W17" s="373" t="s">
        <v>179</v>
      </c>
      <c r="X17" s="357"/>
      <c r="Y17" s="407"/>
      <c r="Z17" s="408"/>
      <c r="AD17" s="357"/>
      <c r="AE17" s="409"/>
      <c r="AF17" s="797" t="s">
        <v>161</v>
      </c>
      <c r="AG17" s="797"/>
      <c r="AH17" s="410"/>
      <c r="AI17" s="237"/>
      <c r="AJ17" s="237"/>
    </row>
    <row r="18" spans="2:36" ht="15" customHeight="1" thickTop="1" thickBot="1" x14ac:dyDescent="0.25">
      <c r="B18" s="32" t="s">
        <v>139</v>
      </c>
      <c r="D18" s="798">
        <f>D16*D17</f>
        <v>0</v>
      </c>
      <c r="E18" s="799"/>
      <c r="F18" s="5" t="s">
        <v>36</v>
      </c>
      <c r="H18" s="1"/>
      <c r="I18" s="23" t="s">
        <v>23</v>
      </c>
      <c r="J18" s="25">
        <f>D18*6*-1</f>
        <v>0</v>
      </c>
      <c r="K18" s="25">
        <f>K8</f>
        <v>48</v>
      </c>
      <c r="L18" s="92">
        <f>ROUND((J18*K18)/1000,5)</f>
        <v>0</v>
      </c>
      <c r="M18" s="29" t="s">
        <v>73</v>
      </c>
      <c r="P18" s="362"/>
      <c r="Q18" s="375" t="str">
        <f t="shared" si="1"/>
        <v>Ln18</v>
      </c>
      <c r="R18" s="384" t="str">
        <f>IF(D15&gt;T18,"ERR","OK")</f>
        <v>OK</v>
      </c>
      <c r="S18" s="548" t="s">
        <v>239</v>
      </c>
      <c r="T18" s="411">
        <v>75</v>
      </c>
      <c r="U18" s="380">
        <v>48</v>
      </c>
      <c r="V18" s="412">
        <f>T18*6</f>
        <v>450</v>
      </c>
      <c r="W18" s="393" t="s">
        <v>176</v>
      </c>
      <c r="X18" s="357"/>
      <c r="Y18" s="357"/>
      <c r="Z18" s="357"/>
      <c r="AA18" s="357"/>
      <c r="AB18" s="357"/>
      <c r="AC18" s="357"/>
      <c r="AD18" s="357"/>
      <c r="AE18" s="357"/>
      <c r="AF18" s="357"/>
      <c r="AG18" s="357"/>
      <c r="AH18" s="35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95">
        <f ca="1">SUM(J16:J18)</f>
        <v>1875.5</v>
      </c>
      <c r="K19" s="93"/>
      <c r="L19" s="24">
        <f>SUM(L16:L18)</f>
        <v>68.383740000000003</v>
      </c>
      <c r="M19" s="29" t="str">
        <f>IF(U8=U10,"Landing Weight Limit same as Takeoff Weight","Max Landing Weight  "&amp;TEXT(U10,"#,##0"))</f>
        <v>Max Landing Weight  2,950</v>
      </c>
      <c r="P19" s="362"/>
      <c r="Q19" s="375" t="str">
        <f t="shared" si="1"/>
        <v>Ln19</v>
      </c>
      <c r="R19" s="391"/>
      <c r="S19" s="549" t="s">
        <v>240</v>
      </c>
      <c r="T19" s="411">
        <v>75</v>
      </c>
      <c r="U19" s="413"/>
      <c r="V19" s="412">
        <f>T19*6</f>
        <v>450</v>
      </c>
      <c r="W19" s="357"/>
      <c r="X19" s="357"/>
      <c r="Y19" s="357"/>
      <c r="Z19" s="357"/>
      <c r="AA19" s="414" t="str">
        <f ca="1">IF(AA20&gt;U8,"OUT","OK")</f>
        <v>OK</v>
      </c>
      <c r="AB19" s="415" t="s">
        <v>164</v>
      </c>
      <c r="AC19" s="357"/>
      <c r="AD19" s="357"/>
      <c r="AE19" s="414" t="str">
        <f ca="1">IF(AA19="out","out",IF(AND(AE20&gt;=AG20,AE20&lt;=AH20),"OK","OUT"))</f>
        <v>OK</v>
      </c>
      <c r="AF19" s="357"/>
      <c r="AG19" s="357"/>
      <c r="AH19" s="357"/>
      <c r="AI19" s="237"/>
      <c r="AJ19" s="237"/>
    </row>
    <row r="20" spans="2:36" ht="15" customHeight="1" thickTop="1" thickBot="1" x14ac:dyDescent="0.25">
      <c r="B20" s="135" t="s">
        <v>132</v>
      </c>
      <c r="I20" s="28" t="s">
        <v>8</v>
      </c>
      <c r="J20" s="94"/>
      <c r="K20" s="96">
        <f ca="1">(L19*1000)/J19</f>
        <v>36.461604905358577</v>
      </c>
      <c r="L20" s="76"/>
      <c r="M20" s="30" t="s">
        <v>65</v>
      </c>
      <c r="P20" s="362"/>
      <c r="Q20" s="375" t="str">
        <f t="shared" si="1"/>
        <v>Ln20</v>
      </c>
      <c r="R20" s="83" t="str">
        <f>IF(AND(T18=T19,LEFT(T20,1)="F"),"OK",IF(AND(T18&lt;&gt;T19,LEFT(T20,1)&lt;&gt;"F"),"OK","ERR"))</f>
        <v>OK</v>
      </c>
      <c r="S20" s="547" t="s">
        <v>188</v>
      </c>
      <c r="T20" s="546" t="s">
        <v>189</v>
      </c>
      <c r="U20" s="397" t="s">
        <v>190</v>
      </c>
      <c r="V20" s="412"/>
      <c r="W20" s="392"/>
      <c r="X20" s="357"/>
      <c r="Y20" s="416" t="s">
        <v>47</v>
      </c>
      <c r="Z20" s="417" t="s">
        <v>1</v>
      </c>
      <c r="AA20" s="418">
        <f ca="1">J16</f>
        <v>1875.5</v>
      </c>
      <c r="AB20" s="419"/>
      <c r="AC20" s="420"/>
      <c r="AD20" s="421" t="s">
        <v>40</v>
      </c>
      <c r="AE20" s="422">
        <f ca="1">K17</f>
        <v>36.461604905358577</v>
      </c>
      <c r="AF20" s="423" t="s">
        <v>61</v>
      </c>
      <c r="AG20" s="424">
        <f ca="1">VLOOKUP(AA20,Z23:AH26,8,TRUE)</f>
        <v>33</v>
      </c>
      <c r="AH20" s="425">
        <f ca="1">VLOOKUP(AA20,Z23:AH26,9,TRUE)</f>
        <v>48.5</v>
      </c>
      <c r="AI20" s="237"/>
      <c r="AJ20" s="237"/>
    </row>
    <row r="21" spans="2:36" ht="13.5" thickTop="1" x14ac:dyDescent="0.2">
      <c r="B21" s="770" t="str">
        <f ca="1">IF(R10&lt;&gt;"OK","Caution - Landing Weight",IF(R11&lt;&gt;"OK","Watch Early Landing Weight",""))</f>
        <v/>
      </c>
      <c r="C21" s="772" t="str">
        <f ca="1">IF(OR(AA19="out",AE19="out"),"CAUTION:   Wt or CG Out of Limits","")</f>
        <v/>
      </c>
      <c r="D21" s="772"/>
      <c r="E21" s="772"/>
      <c r="F21" s="773"/>
      <c r="P21" s="362"/>
      <c r="Q21" s="375" t="str">
        <f t="shared" si="1"/>
        <v>Ln21</v>
      </c>
      <c r="R21" s="391"/>
      <c r="S21" s="548" t="s">
        <v>191</v>
      </c>
      <c r="T21" s="411">
        <v>1.7</v>
      </c>
      <c r="U21" s="413"/>
      <c r="V21" s="412">
        <f>ROUND(T21*6,0)*-1</f>
        <v>-10</v>
      </c>
      <c r="W21" s="357"/>
      <c r="X21" s="357"/>
      <c r="Y21" s="426" t="s">
        <v>48</v>
      </c>
      <c r="Z21" s="427"/>
      <c r="AA21" s="428" t="s">
        <v>67</v>
      </c>
      <c r="AB21" s="429"/>
      <c r="AC21" s="430"/>
      <c r="AD21" s="427"/>
      <c r="AE21" s="431" t="s">
        <v>66</v>
      </c>
      <c r="AF21" s="427"/>
      <c r="AG21" s="432" t="s">
        <v>46</v>
      </c>
      <c r="AH21" s="433" t="s">
        <v>46</v>
      </c>
      <c r="AI21" s="237"/>
      <c r="AJ21" s="237"/>
    </row>
    <row r="22" spans="2:36" ht="13.5" thickBot="1" x14ac:dyDescent="0.25">
      <c r="B22" s="771"/>
      <c r="C22" s="774"/>
      <c r="D22" s="774"/>
      <c r="E22" s="774"/>
      <c r="F22" s="775"/>
      <c r="P22" s="358"/>
      <c r="Q22" s="357"/>
      <c r="R22" s="391"/>
      <c r="S22" s="550" t="s">
        <v>15</v>
      </c>
      <c r="T22" s="391"/>
      <c r="U22" s="392"/>
      <c r="V22" s="391"/>
      <c r="W22" s="393" t="s">
        <v>177</v>
      </c>
      <c r="X22" s="357"/>
      <c r="Y22" s="426" t="s">
        <v>49</v>
      </c>
      <c r="Z22" s="434" t="s">
        <v>41</v>
      </c>
      <c r="AA22" s="434" t="s">
        <v>42</v>
      </c>
      <c r="AB22" s="435" t="s">
        <v>43</v>
      </c>
      <c r="AC22" s="436" t="s">
        <v>41</v>
      </c>
      <c r="AD22" s="437" t="s">
        <v>42</v>
      </c>
      <c r="AE22" s="438" t="s">
        <v>44</v>
      </c>
      <c r="AF22" s="439" t="s">
        <v>45</v>
      </c>
      <c r="AG22" s="440" t="s">
        <v>68</v>
      </c>
      <c r="AH22" s="441" t="s">
        <v>69</v>
      </c>
      <c r="AI22" s="237"/>
      <c r="AJ22" s="237"/>
    </row>
    <row r="23" spans="2:36" ht="13.5" thickTop="1" x14ac:dyDescent="0.2">
      <c r="B23" s="34" t="str">
        <f>IF(AND(R52&lt;&gt;"OK",R48&lt;&gt;"OK"),"Enter Fuel on Board","")</f>
        <v/>
      </c>
      <c r="C23" s="776" t="str">
        <f>IF(R53&lt;&gt;"OK","Fuel &lt;1-HR Reserve","")</f>
        <v/>
      </c>
      <c r="D23" s="776"/>
      <c r="E23" s="776"/>
      <c r="F23" s="777"/>
      <c r="I23" s="10" t="s">
        <v>64</v>
      </c>
      <c r="P23" s="358"/>
      <c r="Q23" s="401"/>
      <c r="R23" s="391"/>
      <c r="S23" s="550" t="s">
        <v>23</v>
      </c>
      <c r="T23" s="391"/>
      <c r="U23" s="392"/>
      <c r="V23" s="391"/>
      <c r="W23" s="393" t="s">
        <v>177</v>
      </c>
      <c r="X23" s="357"/>
      <c r="Y23" s="426" t="s">
        <v>50</v>
      </c>
      <c r="Z23" s="442">
        <f>Z15</f>
        <v>1800</v>
      </c>
      <c r="AA23" s="443">
        <f>Z12</f>
        <v>2250</v>
      </c>
      <c r="AB23" s="444">
        <f>+AA23-Z23</f>
        <v>450</v>
      </c>
      <c r="AC23" s="445">
        <f>AE16</f>
        <v>33</v>
      </c>
      <c r="AD23" s="446">
        <f>AE12</f>
        <v>33</v>
      </c>
      <c r="AE23" s="447">
        <f>AD23-AC23</f>
        <v>0</v>
      </c>
      <c r="AF23" s="448">
        <f>IF(OR(AB23=0,AE23=0),0,ROUND(AE23/AB23,5))</f>
        <v>0</v>
      </c>
      <c r="AG23" s="449">
        <f ca="1">IF(AND(AA20&gt;=Z23,AA20&lt;AA23),AC23+((AA20-Z23)*AF23),AC23)</f>
        <v>33</v>
      </c>
      <c r="AH23" s="450">
        <f>AD26</f>
        <v>48.5</v>
      </c>
      <c r="AI23" s="237"/>
      <c r="AJ23" s="237"/>
    </row>
    <row r="24" spans="2:36" ht="12.75" customHeight="1" x14ac:dyDescent="0.2">
      <c r="B24" s="77" t="str">
        <f>IF(AND(R52&lt;&gt;"OK",R49&lt;&gt;"OK"),"Enter GPH Usage","")</f>
        <v/>
      </c>
      <c r="C24" s="778" t="str">
        <f>IF(OR(R18&lt;&gt;"OK",R51&lt;&gt;"OK"),"Fueling Error","")</f>
        <v/>
      </c>
      <c r="D24" s="778"/>
      <c r="E24" s="778"/>
      <c r="F24" s="779"/>
      <c r="I24" s="9" t="s">
        <v>62</v>
      </c>
      <c r="P24" s="358"/>
      <c r="Q24" s="401"/>
      <c r="R24" s="401"/>
      <c r="S24" s="401"/>
      <c r="T24" s="401"/>
      <c r="U24" s="401"/>
      <c r="V24" s="401"/>
      <c r="W24" s="401"/>
      <c r="X24" s="357"/>
      <c r="Y24" s="426" t="s">
        <v>51</v>
      </c>
      <c r="Z24" s="451">
        <f>AA23</f>
        <v>2250</v>
      </c>
      <c r="AA24" s="452">
        <f>AA8</f>
        <v>3100</v>
      </c>
      <c r="AB24" s="453">
        <f>+AA24-Z24</f>
        <v>850</v>
      </c>
      <c r="AC24" s="454">
        <f>IF(AD24=AD23,AC23,AD23)</f>
        <v>33</v>
      </c>
      <c r="AD24" s="455">
        <f>AF8</f>
        <v>41</v>
      </c>
      <c r="AE24" s="447">
        <f>AD24-AC24</f>
        <v>8</v>
      </c>
      <c r="AF24" s="448">
        <f>IF(OR(AB24=0,AE24=0),0,ROUND(AE24/AB24,5))</f>
        <v>9.41E-3</v>
      </c>
      <c r="AG24" s="449">
        <f ca="1">IF(AND(AA20&gt;=Z24,AA20&lt;AA24),AC24+((AA20-Z24)*AF24),AC24)</f>
        <v>33</v>
      </c>
      <c r="AH24" s="213">
        <f>AH23</f>
        <v>48.5</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358"/>
      <c r="Q25" s="370" t="s">
        <v>159</v>
      </c>
      <c r="R25" s="371"/>
      <c r="S25" s="371"/>
      <c r="T25" s="371"/>
      <c r="U25" s="372" t="s">
        <v>2</v>
      </c>
      <c r="V25" s="372" t="s">
        <v>1</v>
      </c>
      <c r="W25" s="373" t="s">
        <v>179</v>
      </c>
      <c r="X25" s="357"/>
      <c r="Y25" s="426" t="s">
        <v>52</v>
      </c>
      <c r="Z25" s="451">
        <f>AA24</f>
        <v>3100</v>
      </c>
      <c r="AA25" s="452">
        <f>AC8</f>
        <v>3100</v>
      </c>
      <c r="AB25" s="453">
        <f>+AA25-Z25</f>
        <v>0</v>
      </c>
      <c r="AC25" s="454">
        <f>IF(AD25=AD24,AC24,AD24)</f>
        <v>41</v>
      </c>
      <c r="AD25" s="455">
        <f>AH8</f>
        <v>48.5</v>
      </c>
      <c r="AE25" s="447">
        <f>AD25-AC25</f>
        <v>7.5</v>
      </c>
      <c r="AF25" s="448">
        <f>IF(OR(AB25=0,AE25=0),0,ROUND(AE25/AB25,5))</f>
        <v>0</v>
      </c>
      <c r="AG25" s="449">
        <f ca="1">IF(AND(AA20&gt;=Z25,AA20&lt;AA25),AC25+((AA20-Z25)*AF25),AC25)</f>
        <v>41</v>
      </c>
      <c r="AH25" s="213">
        <f>AH24</f>
        <v>48.5</v>
      </c>
      <c r="AI25" s="237"/>
      <c r="AJ25" s="237"/>
    </row>
    <row r="26" spans="2:36" ht="13.5" thickTop="1" x14ac:dyDescent="0.2">
      <c r="I26" s="8" t="str">
        <f>"R Front:  "&amp;IF(E7=0,"---",E7&amp;"#")</f>
        <v>R Front:  ---</v>
      </c>
      <c r="P26" s="358"/>
      <c r="Q26" s="375" t="str">
        <f t="shared" si="1"/>
        <v>Ln26</v>
      </c>
      <c r="R26" s="391"/>
      <c r="S26" s="456" t="s">
        <v>11</v>
      </c>
      <c r="T26" s="378"/>
      <c r="U26" s="380">
        <v>37</v>
      </c>
      <c r="V26" s="412">
        <f>C7+E7</f>
        <v>0</v>
      </c>
      <c r="W26" s="457"/>
      <c r="X26" s="357"/>
      <c r="Y26" s="458" t="s">
        <v>52</v>
      </c>
      <c r="Z26" s="459">
        <f>AA25</f>
        <v>3100</v>
      </c>
      <c r="AA26" s="460">
        <f>AC16</f>
        <v>3100</v>
      </c>
      <c r="AB26" s="461">
        <f>+AA26-Z26</f>
        <v>0</v>
      </c>
      <c r="AC26" s="462">
        <f>IF(AD26=AD25,AC25,AD25)</f>
        <v>41</v>
      </c>
      <c r="AD26" s="463">
        <f>AH16</f>
        <v>48.5</v>
      </c>
      <c r="AE26" s="464">
        <f>AD26-AC26</f>
        <v>7.5</v>
      </c>
      <c r="AF26" s="465">
        <f>IF(OR(AB26=0,AE26=0),0,ROUND(AE26/AB26,5))</f>
        <v>0</v>
      </c>
      <c r="AG26" s="466">
        <f ca="1">IF(AND(AA20&gt;=Z26,AA20&lt;AA26),AC26+((AA20-Z26)*AF26),AC26)</f>
        <v>41</v>
      </c>
      <c r="AH26" s="217">
        <f>AH25</f>
        <v>48.5</v>
      </c>
      <c r="AI26" s="237"/>
      <c r="AJ26" s="237"/>
    </row>
    <row r="27" spans="2:36" ht="12.75" customHeight="1" x14ac:dyDescent="0.2">
      <c r="B27" s="60" t="s">
        <v>79</v>
      </c>
      <c r="H27" s="1"/>
      <c r="I27" s="8" t="str">
        <f>"L  Rear:  "&amp;IF(C9=0,"---",C9&amp;"#")</f>
        <v>L  Rear:  ---</v>
      </c>
      <c r="P27" s="358"/>
      <c r="Q27" s="375" t="str">
        <f t="shared" si="1"/>
        <v>Ln27</v>
      </c>
      <c r="R27" s="391"/>
      <c r="S27" s="456" t="s">
        <v>12</v>
      </c>
      <c r="T27" s="378"/>
      <c r="U27" s="380">
        <v>74</v>
      </c>
      <c r="V27" s="412">
        <f>C9+E9</f>
        <v>0</v>
      </c>
      <c r="W27" s="457"/>
      <c r="X27" s="357"/>
      <c r="Y27" s="357"/>
      <c r="Z27" s="357"/>
      <c r="AA27" s="357"/>
      <c r="AB27" s="357"/>
      <c r="AC27" s="357"/>
      <c r="AD27" s="357"/>
      <c r="AE27" s="357"/>
      <c r="AF27" s="357"/>
      <c r="AG27" s="357"/>
      <c r="AH27" s="357"/>
      <c r="AI27" s="237"/>
      <c r="AJ27" s="237"/>
    </row>
    <row r="28" spans="2:36" ht="13.5" thickBot="1" x14ac:dyDescent="0.25">
      <c r="B28" s="22" t="s">
        <v>127</v>
      </c>
      <c r="D28" s="782">
        <f>U37+(J15*-1)</f>
        <v>1224</v>
      </c>
      <c r="E28" s="783"/>
      <c r="F28" s="784" t="str">
        <f>"( "&amp;TEXT(U37,"#,##0")&amp;"+"&amp;J15*-1&amp;" )"</f>
        <v>( 1,214+10 )</v>
      </c>
      <c r="G28" s="785"/>
      <c r="H28" s="785"/>
      <c r="I28" s="8" t="str">
        <f>"R  Rear:  "&amp;IF(E9=0,"---",E9&amp;"#")</f>
        <v>R  Rear:  ---</v>
      </c>
      <c r="P28" s="358"/>
      <c r="Q28" s="357"/>
      <c r="R28" s="357"/>
      <c r="S28" s="357"/>
      <c r="T28" s="357"/>
      <c r="U28" s="413"/>
      <c r="V28" s="413"/>
      <c r="W28" s="357"/>
      <c r="X28" s="357"/>
      <c r="Y28" s="357"/>
      <c r="Z28" s="357"/>
      <c r="AA28" s="357"/>
      <c r="AB28" s="357"/>
      <c r="AC28" s="357"/>
      <c r="AD28" s="357"/>
      <c r="AE28" s="357"/>
      <c r="AF28" s="357"/>
      <c r="AG28" s="357"/>
      <c r="AH28" s="357"/>
      <c r="AI28" s="237"/>
      <c r="AJ28" s="237"/>
    </row>
    <row r="29" spans="2:36" ht="13.5" thickBot="1" x14ac:dyDescent="0.25">
      <c r="B29" s="22" t="s">
        <v>126</v>
      </c>
      <c r="D29" s="786">
        <f>SUM(J8:J13)</f>
        <v>0</v>
      </c>
      <c r="E29" s="787"/>
      <c r="I29" s="8" t="str">
        <f>"Bag 1:  "&amp;IF(C11=0,"---",C11&amp;"#")</f>
        <v>Bag 1:  ---</v>
      </c>
      <c r="P29" s="358"/>
      <c r="Q29" s="375" t="str">
        <f t="shared" si="1"/>
        <v>Ln29</v>
      </c>
      <c r="R29" s="467" t="str">
        <f>IF(C11&gt;V29,"ERR","OK")</f>
        <v>OK</v>
      </c>
      <c r="S29" s="456" t="s">
        <v>25</v>
      </c>
      <c r="T29" s="512">
        <f>C11</f>
        <v>0</v>
      </c>
      <c r="U29" s="380">
        <v>97</v>
      </c>
      <c r="V29" s="468">
        <v>120</v>
      </c>
      <c r="W29" s="393" t="s">
        <v>176</v>
      </c>
      <c r="X29" s="357"/>
      <c r="Y29" s="357"/>
      <c r="Z29" s="357"/>
      <c r="AA29" s="357"/>
      <c r="AB29" s="357"/>
      <c r="AC29" s="357"/>
      <c r="AD29" s="357"/>
      <c r="AE29" s="357"/>
      <c r="AF29" s="357"/>
      <c r="AG29" s="357"/>
      <c r="AH29" s="357"/>
      <c r="AI29" s="237"/>
      <c r="AJ29" s="237"/>
    </row>
    <row r="30" spans="2:36" ht="15.75" x14ac:dyDescent="0.3">
      <c r="B30" s="22" t="str">
        <f>IF(D29&lt;=D28,"Lbs before overweight","OVERWEIGHT")</f>
        <v>Lbs before overweight</v>
      </c>
      <c r="D30" s="788">
        <f>ABS(D28-D29)</f>
        <v>1224</v>
      </c>
      <c r="E30" s="789"/>
      <c r="F30" s="790" t="str">
        <f>IF(D29&gt;D28,"# Over","")</f>
        <v/>
      </c>
      <c r="G30" s="791"/>
      <c r="H30" s="791"/>
      <c r="I30" s="8" t="str">
        <f>"Bag 2:  "&amp;IF(C12=0,"---",C12&amp;"#")</f>
        <v>Bag 2:  ---</v>
      </c>
      <c r="P30" s="358"/>
      <c r="Q30" s="375" t="str">
        <f t="shared" si="1"/>
        <v>Ln30</v>
      </c>
      <c r="R30" s="467" t="str">
        <f>IF(C12&gt;V30,"ERR","OK")</f>
        <v>OK</v>
      </c>
      <c r="S30" s="456" t="s">
        <v>26</v>
      </c>
      <c r="T30" s="512">
        <f>C12</f>
        <v>0</v>
      </c>
      <c r="U30" s="380">
        <v>116</v>
      </c>
      <c r="V30" s="468">
        <v>80</v>
      </c>
      <c r="W30" s="393" t="s">
        <v>176</v>
      </c>
      <c r="X30" s="357"/>
      <c r="Y30" s="357"/>
      <c r="Z30" s="472"/>
      <c r="AA30" s="473"/>
      <c r="AB30" s="474" t="s">
        <v>165</v>
      </c>
      <c r="AC30" s="371"/>
      <c r="AD30" s="371"/>
      <c r="AE30" s="371"/>
      <c r="AF30" s="371"/>
      <c r="AG30" s="371"/>
      <c r="AH30" s="357"/>
      <c r="AI30" s="237"/>
      <c r="AJ30" s="237"/>
    </row>
    <row r="31" spans="2:36" ht="15.75" thickBot="1" x14ac:dyDescent="0.3">
      <c r="P31" s="358"/>
      <c r="Q31" s="375" t="str">
        <f t="shared" si="1"/>
        <v>Ln31</v>
      </c>
      <c r="R31" s="511" t="str">
        <f>IF(D13&gt;V31,"ERR","OK")</f>
        <v>OK</v>
      </c>
      <c r="S31" s="509" t="s">
        <v>28</v>
      </c>
      <c r="T31" s="512">
        <f>D13</f>
        <v>0</v>
      </c>
      <c r="U31" s="380">
        <v>129</v>
      </c>
      <c r="V31" s="468">
        <v>25</v>
      </c>
      <c r="W31" s="393" t="s">
        <v>176</v>
      </c>
      <c r="X31" s="357"/>
      <c r="Y31" s="357"/>
      <c r="Z31" s="357"/>
      <c r="AA31" s="357"/>
      <c r="AB31" s="357"/>
      <c r="AC31" s="382" t="s">
        <v>162</v>
      </c>
      <c r="AD31" s="357"/>
      <c r="AE31" s="357"/>
      <c r="AF31" s="357"/>
      <c r="AG31" s="473"/>
      <c r="AH31" s="357"/>
      <c r="AI31" s="237"/>
      <c r="AJ31" s="237"/>
    </row>
    <row r="32" spans="2:36" ht="13.5" thickTop="1" x14ac:dyDescent="0.2">
      <c r="I32" s="8"/>
      <c r="P32" s="358"/>
      <c r="Q32" s="375" t="str">
        <f t="shared" si="1"/>
        <v>Ln32</v>
      </c>
      <c r="R32" s="511" t="str">
        <f>IF(C11+C12+D13&gt;V32,"ERR","OK")</f>
        <v>OK</v>
      </c>
      <c r="S32" s="510" t="s">
        <v>29</v>
      </c>
      <c r="T32" s="512">
        <f>SUM(C11,C12,D13)</f>
        <v>0</v>
      </c>
      <c r="U32" s="471"/>
      <c r="V32" s="468">
        <v>200</v>
      </c>
      <c r="W32" s="357"/>
      <c r="X32" s="357"/>
      <c r="Y32" s="476"/>
      <c r="Z32" s="477"/>
      <c r="AA32" s="478">
        <v>2950</v>
      </c>
      <c r="AC32" s="403">
        <f>AA32</f>
        <v>2950</v>
      </c>
      <c r="AD32" s="357"/>
      <c r="AF32" s="479">
        <v>39.5</v>
      </c>
      <c r="AH32" s="390">
        <v>48.5</v>
      </c>
      <c r="AI32" s="237"/>
      <c r="AJ32" s="237"/>
    </row>
    <row r="33" spans="8:36" x14ac:dyDescent="0.2">
      <c r="I33" s="9" t="s">
        <v>63</v>
      </c>
      <c r="P33" s="358"/>
      <c r="Q33" s="375" t="str">
        <f t="shared" si="1"/>
        <v>Ln33</v>
      </c>
      <c r="R33" s="511" t="str">
        <f>IF(C11+C12&gt;V33,"ERR","OK")</f>
        <v>OK</v>
      </c>
      <c r="S33" s="470" t="s">
        <v>30</v>
      </c>
      <c r="T33" s="512"/>
      <c r="U33" s="471"/>
      <c r="V33" s="468">
        <v>200</v>
      </c>
      <c r="W33" s="357"/>
      <c r="X33" s="357"/>
      <c r="Y33" s="480"/>
      <c r="Z33" s="82"/>
      <c r="AD33" s="357"/>
      <c r="AI33" s="237"/>
      <c r="AJ33" s="237"/>
    </row>
    <row r="34" spans="8:36" ht="13.5" x14ac:dyDescent="0.25">
      <c r="I34" s="10" t="str">
        <f>"Start:  "&amp;TEXT(D15,("###.0"))&amp;" USG"</f>
        <v>Start:  .0 USG</v>
      </c>
      <c r="P34" s="358"/>
      <c r="Q34" s="375" t="str">
        <f t="shared" si="1"/>
        <v>Ln34</v>
      </c>
      <c r="R34" s="511" t="str">
        <f>IF(C12+D13&gt;V34,"ERR","OK")</f>
        <v>OK</v>
      </c>
      <c r="S34" s="510" t="s">
        <v>71</v>
      </c>
      <c r="T34" s="512"/>
      <c r="U34" s="471"/>
      <c r="V34" s="468">
        <v>80</v>
      </c>
      <c r="W34" s="357"/>
      <c r="X34" s="357"/>
      <c r="Y34" s="481" t="s">
        <v>155</v>
      </c>
      <c r="Z34" s="82"/>
      <c r="AD34" s="357"/>
      <c r="AI34" s="237"/>
      <c r="AJ34" s="237"/>
    </row>
    <row r="35" spans="8:36" ht="13.5" x14ac:dyDescent="0.25">
      <c r="I35" s="10" t="str">
        <f>"Used:    "&amp;TEXT(D18,("###.0"))&amp;" USG"</f>
        <v>Used:    .0 USG</v>
      </c>
      <c r="P35" s="358"/>
      <c r="Q35" s="357"/>
      <c r="R35" s="357"/>
      <c r="S35" s="357"/>
      <c r="T35" s="357"/>
      <c r="U35" s="357"/>
      <c r="V35" s="357"/>
      <c r="W35" s="357"/>
      <c r="X35" s="357"/>
      <c r="Y35" s="481" t="s">
        <v>50</v>
      </c>
      <c r="Z35" s="82"/>
      <c r="AA35" s="766" t="s">
        <v>1</v>
      </c>
      <c r="AB35" s="766"/>
      <c r="AD35" s="357"/>
      <c r="AF35" s="766" t="s">
        <v>154</v>
      </c>
      <c r="AG35" s="766"/>
      <c r="AI35" s="237"/>
      <c r="AJ35" s="237"/>
    </row>
    <row r="36" spans="8:36" ht="13.5" x14ac:dyDescent="0.25">
      <c r="I36" s="10" t="str">
        <f>"Reserve:  "&amp;TEXT(D15-D18,"###.0")&amp;" USG"</f>
        <v>Reserve:  .0 USG</v>
      </c>
      <c r="P36" s="358"/>
      <c r="Q36" s="370" t="s">
        <v>160</v>
      </c>
      <c r="R36" s="371"/>
      <c r="S36" s="371"/>
      <c r="T36" s="371"/>
      <c r="U36" s="482" t="s">
        <v>1</v>
      </c>
      <c r="V36" s="357"/>
      <c r="W36" s="357"/>
      <c r="X36" s="357"/>
      <c r="Y36" s="481" t="s">
        <v>56</v>
      </c>
      <c r="Z36" s="478">
        <v>2250</v>
      </c>
      <c r="AA36" s="766" t="s">
        <v>153</v>
      </c>
      <c r="AB36" s="766"/>
      <c r="AD36" s="357"/>
      <c r="AE36" s="628">
        <f>AE40</f>
        <v>33</v>
      </c>
      <c r="AF36" s="766" t="s">
        <v>153</v>
      </c>
      <c r="AG36" s="766"/>
      <c r="AI36" s="237"/>
      <c r="AJ36" s="237"/>
    </row>
    <row r="37" spans="8:36" ht="13.5" x14ac:dyDescent="0.25">
      <c r="P37" s="358"/>
      <c r="Q37" s="375" t="str">
        <f t="shared" ref="Q37:Q39" si="2">"Ln"&amp;ROW()</f>
        <v>Ln37</v>
      </c>
      <c r="R37" s="484"/>
      <c r="S37" s="400" t="s">
        <v>77</v>
      </c>
      <c r="T37" s="485"/>
      <c r="U37" s="486">
        <f>ROUNDDOWN(U8-U7,0)</f>
        <v>1214</v>
      </c>
      <c r="V37" s="357"/>
      <c r="W37" s="357"/>
      <c r="X37" s="357"/>
      <c r="Y37" s="481" t="s">
        <v>57</v>
      </c>
      <c r="Z37" s="82"/>
      <c r="AC37" s="767" t="s">
        <v>157</v>
      </c>
      <c r="AD37" s="357"/>
      <c r="AH37" s="767" t="s">
        <v>157</v>
      </c>
      <c r="AI37" s="237"/>
      <c r="AJ37" s="237"/>
    </row>
    <row r="38" spans="8:36" ht="13.5" x14ac:dyDescent="0.25">
      <c r="I38" s="9" t="s">
        <v>72</v>
      </c>
      <c r="P38" s="358"/>
      <c r="Q38" s="375" t="str">
        <f t="shared" si="2"/>
        <v>Ln38</v>
      </c>
      <c r="R38" s="484"/>
      <c r="S38" s="400" t="s">
        <v>76</v>
      </c>
      <c r="T38" s="485"/>
      <c r="U38" s="486">
        <f>IF(T19=0,"",U37-V19)</f>
        <v>764</v>
      </c>
      <c r="V38" s="357"/>
      <c r="W38" s="357"/>
      <c r="X38" s="357"/>
      <c r="Y38" s="481" t="s">
        <v>156</v>
      </c>
      <c r="Z38" s="82"/>
      <c r="AC38" s="767"/>
      <c r="AD38" s="357"/>
      <c r="AH38" s="767"/>
      <c r="AI38" s="237"/>
      <c r="AJ38" s="237"/>
    </row>
    <row r="39" spans="8:36" ht="13.5" x14ac:dyDescent="0.25">
      <c r="H39" s="7"/>
      <c r="I39" s="63" t="str">
        <f>IF(T42="","","Max Flight (NO Res)")</f>
        <v/>
      </c>
      <c r="P39" s="358"/>
      <c r="Q39" s="375" t="str">
        <f t="shared" si="2"/>
        <v>Ln39</v>
      </c>
      <c r="R39" s="484"/>
      <c r="S39" s="400" t="s">
        <v>78</v>
      </c>
      <c r="T39" s="487"/>
      <c r="U39" s="486">
        <f>U37-V18</f>
        <v>764</v>
      </c>
      <c r="V39" s="357"/>
      <c r="W39" s="357"/>
      <c r="X39" s="357"/>
      <c r="Y39" s="481" t="s">
        <v>47</v>
      </c>
      <c r="Z39" s="82"/>
      <c r="AC39" s="768"/>
      <c r="AD39" s="357"/>
      <c r="AH39" s="768"/>
      <c r="AI39" s="237"/>
      <c r="AJ39" s="237"/>
    </row>
    <row r="40" spans="8:36" x14ac:dyDescent="0.2">
      <c r="H40" s="7"/>
      <c r="I40" s="21" t="str">
        <f>IF(T42="","","~"&amp;TEXT(T42,("##.0"))&amp;" hrs")</f>
        <v/>
      </c>
      <c r="P40" s="358"/>
      <c r="Q40" s="357"/>
      <c r="R40" s="357"/>
      <c r="S40" s="357"/>
      <c r="T40" s="413"/>
      <c r="U40" s="413"/>
      <c r="V40" s="357"/>
      <c r="W40" s="357"/>
      <c r="X40" s="357"/>
      <c r="Y40" s="480"/>
      <c r="Z40" s="478">
        <v>1800</v>
      </c>
      <c r="AC40" s="403">
        <f>AC32</f>
        <v>2950</v>
      </c>
      <c r="AD40" s="357"/>
      <c r="AE40" s="489">
        <v>33</v>
      </c>
      <c r="AF40" s="82"/>
      <c r="AG40" s="82"/>
      <c r="AH40" s="490">
        <f>AH32</f>
        <v>48.5</v>
      </c>
      <c r="AI40" s="242"/>
      <c r="AJ40" s="242"/>
    </row>
    <row r="41" spans="8:36" ht="14.25" thickBot="1" x14ac:dyDescent="0.3">
      <c r="I41" s="61" t="str">
        <f>IF(T42="","","@ "&amp;TEXT(D16,"##.0")&amp;" GPH")</f>
        <v/>
      </c>
      <c r="P41" s="358"/>
      <c r="Q41" s="370" t="s">
        <v>119</v>
      </c>
      <c r="R41" s="371"/>
      <c r="S41" s="482"/>
      <c r="T41" s="488" t="s">
        <v>121</v>
      </c>
      <c r="U41" s="413"/>
      <c r="V41" s="357"/>
      <c r="W41" s="357"/>
      <c r="X41" s="357"/>
      <c r="Y41" s="494"/>
      <c r="Z41" s="495"/>
      <c r="AD41" s="357"/>
      <c r="AE41" s="496"/>
      <c r="AF41" s="769" t="s">
        <v>161</v>
      </c>
      <c r="AG41" s="769"/>
      <c r="AH41" s="497"/>
      <c r="AI41" s="237"/>
      <c r="AJ41" s="237"/>
    </row>
    <row r="42" spans="8:36" ht="13.5" thickTop="1" x14ac:dyDescent="0.2">
      <c r="I42" s="65" t="str">
        <f>IF(R52&lt;&gt;"OK","","  At end of ")</f>
        <v/>
      </c>
      <c r="P42" s="358"/>
      <c r="Q42" s="375" t="str">
        <f t="shared" ref="Q42:Q43" si="3">"Ln"&amp;ROW()</f>
        <v>Ln42</v>
      </c>
      <c r="R42" s="491" t="s">
        <v>91</v>
      </c>
      <c r="S42" s="492"/>
      <c r="T42" s="493" t="str">
        <f>IF(AND(D15&gt;0,D18&gt;0),ROUND(D15/D16,3),"")</f>
        <v/>
      </c>
      <c r="U42" s="413"/>
      <c r="V42" s="357"/>
      <c r="W42" s="357"/>
      <c r="X42" s="357"/>
      <c r="Y42" s="357"/>
      <c r="Z42" s="357"/>
      <c r="AA42" s="357"/>
      <c r="AB42" s="357"/>
      <c r="AC42" s="357"/>
      <c r="AD42" s="357"/>
      <c r="AE42" s="357"/>
      <c r="AF42" s="357"/>
      <c r="AG42" s="357"/>
      <c r="AH42" s="357"/>
      <c r="AI42" s="237"/>
      <c r="AJ42" s="237"/>
    </row>
    <row r="43" spans="8:36" ht="13.5" thickBot="1" x14ac:dyDescent="0.25">
      <c r="I43" s="66" t="str">
        <f>IF(R52&lt;&gt;"OK","",TEXT(D17,"##.0")&amp;" Hr Trip . . ")</f>
        <v/>
      </c>
      <c r="P43" s="358"/>
      <c r="Q43" s="375" t="str">
        <f t="shared" si="3"/>
        <v>Ln43</v>
      </c>
      <c r="R43" s="491" t="s">
        <v>95</v>
      </c>
      <c r="S43" s="492"/>
      <c r="T43" s="493" t="str">
        <f>IF(AND(D15&gt;0,D16&gt;0,D18&gt;0),ROUND((D15-D18)/D16,3),"")</f>
        <v/>
      </c>
      <c r="U43" s="413"/>
      <c r="V43" s="357"/>
      <c r="W43" s="357"/>
      <c r="X43" s="357"/>
      <c r="Y43" s="357"/>
      <c r="Z43" s="357"/>
      <c r="AA43" s="498" t="str">
        <f ca="1">IF(U8=U10,"OK",IF(AA44&gt;U10,"OUT","OK"))</f>
        <v>OK</v>
      </c>
      <c r="AB43" s="415" t="s">
        <v>164</v>
      </c>
      <c r="AC43" s="357"/>
      <c r="AD43" s="357"/>
      <c r="AE43" s="498" t="str">
        <f ca="1">IF(U8=U10,"OK",IF(AND(AE44&gt;=AG44,AE44&lt;=AH44),"OK","OUT"))</f>
        <v>OK</v>
      </c>
      <c r="AF43" s="357"/>
      <c r="AG43" s="357"/>
      <c r="AH43" s="357"/>
      <c r="AI43" s="237"/>
      <c r="AJ43" s="237"/>
    </row>
    <row r="44" spans="8:36" ht="14.25" thickTop="1" thickBot="1" x14ac:dyDescent="0.25">
      <c r="I44" s="62" t="str">
        <f>IF(R52&lt;&gt;"OK","","Reserve is ~ "&amp;TEXT(T43,"##.0")&amp;" Hrs")</f>
        <v/>
      </c>
      <c r="P44" s="358"/>
      <c r="Q44" s="357"/>
      <c r="R44" s="357"/>
      <c r="S44" s="357"/>
      <c r="T44" s="357"/>
      <c r="U44" s="357"/>
      <c r="V44" s="357"/>
      <c r="W44" s="357"/>
      <c r="X44" s="357"/>
      <c r="Y44" s="416" t="s">
        <v>53</v>
      </c>
      <c r="Z44" s="417" t="s">
        <v>1</v>
      </c>
      <c r="AA44" s="499">
        <f ca="1">J19</f>
        <v>1875.5</v>
      </c>
      <c r="AB44" s="419"/>
      <c r="AC44" s="420"/>
      <c r="AD44" s="500" t="s">
        <v>40</v>
      </c>
      <c r="AE44" s="499">
        <f ca="1">K20</f>
        <v>36.461604905358577</v>
      </c>
      <c r="AF44" s="423" t="s">
        <v>61</v>
      </c>
      <c r="AG44" s="501">
        <f ca="1">VLOOKUP(AA44,Z47:AH50,8)</f>
        <v>33</v>
      </c>
      <c r="AH44" s="502">
        <f ca="1">VLOOKUP(AA44,Z47:AH50,9)</f>
        <v>48.5</v>
      </c>
      <c r="AI44" s="237"/>
      <c r="AJ44" s="237"/>
    </row>
    <row r="45" spans="8:36" ht="13.5" thickTop="1" x14ac:dyDescent="0.2">
      <c r="I45" s="64" t="str">
        <f>IF(R52&lt;&gt;"OK","",IF(R53&lt;&gt;"OK","Caution: &lt; 1 HR",""))</f>
        <v/>
      </c>
      <c r="P45" s="358"/>
      <c r="Q45" s="370" t="s">
        <v>175</v>
      </c>
      <c r="R45" s="371"/>
      <c r="S45" s="482"/>
      <c r="T45" s="482"/>
      <c r="U45" s="357"/>
      <c r="V45" s="357"/>
      <c r="W45" s="357"/>
      <c r="X45" s="357"/>
      <c r="Y45" s="426" t="s">
        <v>48</v>
      </c>
      <c r="Z45" s="427"/>
      <c r="AA45" s="428" t="s">
        <v>67</v>
      </c>
      <c r="AB45" s="429"/>
      <c r="AC45" s="430"/>
      <c r="AD45" s="427"/>
      <c r="AE45" s="431" t="s">
        <v>66</v>
      </c>
      <c r="AF45" s="427"/>
      <c r="AG45" s="432" t="s">
        <v>46</v>
      </c>
      <c r="AH45" s="433" t="s">
        <v>46</v>
      </c>
      <c r="AI45" s="237"/>
      <c r="AJ45" s="237"/>
    </row>
    <row r="46" spans="8:36" ht="13.5" thickBot="1" x14ac:dyDescent="0.25">
      <c r="P46" s="358"/>
      <c r="Q46" s="375" t="str">
        <f t="shared" ref="Q46:Q53" si="4">"Ln"&amp;ROW()</f>
        <v>Ln46</v>
      </c>
      <c r="R46" s="503" t="str">
        <f>IF(AND(C7="",(E7+C9+E9)&gt;0),"WARN","OK")</f>
        <v>OK</v>
      </c>
      <c r="S46" s="504" t="s">
        <v>89</v>
      </c>
      <c r="T46" s="505"/>
      <c r="U46" s="357"/>
      <c r="V46" s="357"/>
      <c r="W46" s="357"/>
      <c r="X46" s="357"/>
      <c r="Y46" s="426" t="s">
        <v>54</v>
      </c>
      <c r="Z46" s="434" t="s">
        <v>41</v>
      </c>
      <c r="AA46" s="434" t="s">
        <v>42</v>
      </c>
      <c r="AB46" s="435" t="s">
        <v>43</v>
      </c>
      <c r="AC46" s="436" t="s">
        <v>41</v>
      </c>
      <c r="AD46" s="437" t="s">
        <v>42</v>
      </c>
      <c r="AE46" s="438" t="s">
        <v>44</v>
      </c>
      <c r="AF46" s="439" t="s">
        <v>45</v>
      </c>
      <c r="AG46" s="440" t="s">
        <v>68</v>
      </c>
      <c r="AH46" s="441" t="s">
        <v>69</v>
      </c>
      <c r="AI46" s="237"/>
      <c r="AJ46" s="237"/>
    </row>
    <row r="47" spans="8:36" ht="13.5" thickTop="1" x14ac:dyDescent="0.2">
      <c r="P47" s="358"/>
      <c r="Q47" s="375" t="str">
        <f t="shared" si="4"/>
        <v>Ln47</v>
      </c>
      <c r="R47" s="503" t="str">
        <f>IF(C7+E7+C9+E9&gt;0,"INFO","OK")</f>
        <v>OK</v>
      </c>
      <c r="S47" s="504" t="s">
        <v>92</v>
      </c>
      <c r="T47" s="505"/>
      <c r="U47" s="357"/>
      <c r="V47" s="357"/>
      <c r="W47" s="357"/>
      <c r="X47" s="357"/>
      <c r="Y47" s="426" t="s">
        <v>55</v>
      </c>
      <c r="Z47" s="442">
        <f>Z40</f>
        <v>1800</v>
      </c>
      <c r="AA47" s="443">
        <f>Z36</f>
        <v>2250</v>
      </c>
      <c r="AB47" s="444">
        <f>+AA47-Z47</f>
        <v>450</v>
      </c>
      <c r="AC47" s="445">
        <f>AE40</f>
        <v>33</v>
      </c>
      <c r="AD47" s="446">
        <f>AE36</f>
        <v>33</v>
      </c>
      <c r="AE47" s="447">
        <f>AD47-AC47</f>
        <v>0</v>
      </c>
      <c r="AF47" s="448">
        <f>IF(OR(AB47=0,AE47=0),0,ROUND(AE47/AB47,5))</f>
        <v>0</v>
      </c>
      <c r="AG47" s="449">
        <f ca="1">IF(AND(AA44&gt;=Z47,AA44&lt;AA47),AC47+((AA44-Z47)*AF47),AC47)</f>
        <v>33</v>
      </c>
      <c r="AH47" s="450">
        <f>AD50</f>
        <v>48.5</v>
      </c>
      <c r="AI47" s="237"/>
      <c r="AJ47" s="237"/>
    </row>
    <row r="48" spans="8:36" x14ac:dyDescent="0.2">
      <c r="P48" s="358"/>
      <c r="Q48" s="375" t="str">
        <f t="shared" si="4"/>
        <v>Ln48</v>
      </c>
      <c r="R48" s="503" t="str">
        <f>IF(AND(C7&gt;0,D15=0),"WARN","OK")</f>
        <v>OK</v>
      </c>
      <c r="S48" s="506" t="s">
        <v>111</v>
      </c>
      <c r="T48" s="507"/>
      <c r="U48" s="357"/>
      <c r="V48" s="357"/>
      <c r="W48" s="357"/>
      <c r="X48" s="357"/>
      <c r="Y48" s="426" t="s">
        <v>56</v>
      </c>
      <c r="Z48" s="451">
        <f>AA47</f>
        <v>2250</v>
      </c>
      <c r="AA48" s="452">
        <f>AA32</f>
        <v>2950</v>
      </c>
      <c r="AB48" s="453">
        <f>+AA48-Z48</f>
        <v>700</v>
      </c>
      <c r="AC48" s="454">
        <f>IF(AD48=AD47,AC47,AD47)</f>
        <v>33</v>
      </c>
      <c r="AD48" s="455">
        <f>AF32</f>
        <v>39.5</v>
      </c>
      <c r="AE48" s="447">
        <f>AD48-AC48</f>
        <v>6.5</v>
      </c>
      <c r="AF48" s="448">
        <f>IF(OR(AB48=0,AE48=0),0,ROUND(AE48/AB48,5))</f>
        <v>9.2899999999999996E-3</v>
      </c>
      <c r="AG48" s="449">
        <f ca="1">IF(AND(AA44&gt;=Z48,AA44&lt;AA48),AC48+((AA44-Z48)*AF48),AC48)</f>
        <v>33</v>
      </c>
      <c r="AH48" s="213">
        <f>AH47</f>
        <v>48.5</v>
      </c>
      <c r="AI48" s="237"/>
      <c r="AJ48" s="237"/>
    </row>
    <row r="49" spans="8:36" x14ac:dyDescent="0.2">
      <c r="P49" s="358"/>
      <c r="Q49" s="375" t="str">
        <f t="shared" si="4"/>
        <v>Ln49</v>
      </c>
      <c r="R49" s="503" t="str">
        <f>IF(AND(C7&gt;0,D16=0),"WARN","OK")</f>
        <v>OK</v>
      </c>
      <c r="S49" s="506" t="s">
        <v>113</v>
      </c>
      <c r="T49" s="507"/>
      <c r="U49" s="357"/>
      <c r="V49" s="357"/>
      <c r="W49" s="357"/>
      <c r="X49" s="357"/>
      <c r="Y49" s="426" t="s">
        <v>54</v>
      </c>
      <c r="Z49" s="451">
        <f>AA48</f>
        <v>2950</v>
      </c>
      <c r="AA49" s="452">
        <f>AC32</f>
        <v>2950</v>
      </c>
      <c r="AB49" s="453">
        <f>+AA49-Z49</f>
        <v>0</v>
      </c>
      <c r="AC49" s="454">
        <f>IF(AD49=AD48,AC48,AD48)</f>
        <v>39.5</v>
      </c>
      <c r="AD49" s="455">
        <f>AH32</f>
        <v>48.5</v>
      </c>
      <c r="AE49" s="447">
        <f>AD49-AC49</f>
        <v>9</v>
      </c>
      <c r="AF49" s="448">
        <f>IF(OR(AB49=0,AE49=0),0,ROUND(AE49/AB49,5))</f>
        <v>0</v>
      </c>
      <c r="AG49" s="449">
        <f ca="1">IF(AND(AA44&gt;=Z49,AA44&lt;AA49),AC49+((AA44-Z49)*AF49),AC49)</f>
        <v>39.5</v>
      </c>
      <c r="AH49" s="213">
        <f>AH48</f>
        <v>48.5</v>
      </c>
      <c r="AI49" s="237"/>
      <c r="AJ49" s="237"/>
    </row>
    <row r="50" spans="8:36" ht="13.5" thickBot="1" x14ac:dyDescent="0.25">
      <c r="P50" s="358"/>
      <c r="Q50" s="375" t="str">
        <f t="shared" si="4"/>
        <v>Ln50</v>
      </c>
      <c r="R50" s="503" t="str">
        <f>IF(AND(C7&gt;0,D17=0),"WARN","OK")</f>
        <v>OK</v>
      </c>
      <c r="S50" s="506" t="s">
        <v>112</v>
      </c>
      <c r="T50" s="507"/>
      <c r="U50" s="357"/>
      <c r="V50" s="357"/>
      <c r="W50" s="357"/>
      <c r="X50" s="357"/>
      <c r="Y50" s="458" t="s">
        <v>57</v>
      </c>
      <c r="Z50" s="459">
        <f>AA49</f>
        <v>2950</v>
      </c>
      <c r="AA50" s="460">
        <f>AC40</f>
        <v>2950</v>
      </c>
      <c r="AB50" s="461">
        <f>+AA50-Z50</f>
        <v>0</v>
      </c>
      <c r="AC50" s="462">
        <f>IF(AD50=AD49,AC49,AD49)</f>
        <v>39.5</v>
      </c>
      <c r="AD50" s="463">
        <f>AH40</f>
        <v>48.5</v>
      </c>
      <c r="AE50" s="464">
        <f>AD50-AC50</f>
        <v>9</v>
      </c>
      <c r="AF50" s="465">
        <f>IF(OR(AB50=0,AE50=0),0,ROUND(AE50/AB50,5))</f>
        <v>0</v>
      </c>
      <c r="AG50" s="466">
        <f ca="1">IF(AND(AA44&gt;=Z50,AA44&lt;AA50),AC50+((AA44-Z50)*AF50),AC50)</f>
        <v>39.5</v>
      </c>
      <c r="AH50" s="217">
        <f>AH49</f>
        <v>48.5</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358"/>
      <c r="Q51" s="375" t="str">
        <f t="shared" si="4"/>
        <v>Ln51</v>
      </c>
      <c r="R51" s="503" t="str">
        <f>IF(D18&gt;D15,"ERR","OK")</f>
        <v>OK</v>
      </c>
      <c r="S51" s="506" t="s">
        <v>94</v>
      </c>
      <c r="T51" s="507"/>
      <c r="U51" s="357"/>
      <c r="V51" s="357"/>
      <c r="W51" s="357"/>
      <c r="X51" s="357"/>
      <c r="Y51" s="357"/>
      <c r="Z51" s="357"/>
      <c r="AA51" s="357"/>
      <c r="AB51" s="357"/>
      <c r="AC51" s="357"/>
      <c r="AD51" s="357"/>
      <c r="AE51" s="357"/>
      <c r="AF51" s="357"/>
      <c r="AG51" s="357"/>
      <c r="AH51" s="357"/>
      <c r="AI51" s="237"/>
      <c r="AJ51" s="237"/>
    </row>
    <row r="52" spans="8:36" x14ac:dyDescent="0.2">
      <c r="I52" s="758"/>
      <c r="J52" s="762"/>
      <c r="K52" s="762"/>
      <c r="L52" s="762"/>
      <c r="M52" s="763"/>
      <c r="P52" s="358"/>
      <c r="Q52" s="375" t="str">
        <f t="shared" si="4"/>
        <v>Ln52</v>
      </c>
      <c r="R52" s="503" t="str">
        <f>IF(OR(D15=0,D16=0,D17=0),"WARN","OK")</f>
        <v>WARN</v>
      </c>
      <c r="S52" s="506" t="s">
        <v>110</v>
      </c>
      <c r="T52" s="507"/>
      <c r="U52" s="357"/>
      <c r="V52" s="357"/>
      <c r="W52" s="357"/>
      <c r="X52" s="357"/>
      <c r="Y52" s="357"/>
      <c r="Z52" s="357"/>
      <c r="AA52" s="357"/>
      <c r="AB52" s="357"/>
      <c r="AC52" s="357"/>
      <c r="AD52" s="357"/>
      <c r="AE52" s="357"/>
      <c r="AF52" s="357"/>
      <c r="AG52" s="357"/>
      <c r="AH52" s="357"/>
      <c r="AI52" s="237"/>
      <c r="AJ52" s="237"/>
    </row>
    <row r="53" spans="8:36" ht="13.5" thickBot="1" x14ac:dyDescent="0.25">
      <c r="I53" s="759"/>
      <c r="J53" s="764"/>
      <c r="K53" s="764"/>
      <c r="L53" s="764"/>
      <c r="M53" s="765"/>
      <c r="P53" s="358"/>
      <c r="Q53" s="375" t="str">
        <f t="shared" si="4"/>
        <v>Ln53</v>
      </c>
      <c r="R53" s="503" t="str">
        <f>IF(AND(D15&gt;0,D16&gt;0,D18&gt;0,T43&lt;1),"WARN","OK")</f>
        <v>OK</v>
      </c>
      <c r="S53" s="506" t="s">
        <v>90</v>
      </c>
      <c r="T53" s="507"/>
      <c r="U53" s="357"/>
      <c r="V53" s="357"/>
      <c r="W53" s="357"/>
      <c r="X53" s="357"/>
      <c r="Y53" s="357"/>
      <c r="Z53" s="357"/>
      <c r="AA53" s="357"/>
      <c r="AB53" s="357"/>
      <c r="AC53" s="357"/>
      <c r="AD53" s="357"/>
      <c r="AE53" s="357"/>
      <c r="AF53" s="357"/>
      <c r="AG53" s="357"/>
      <c r="AH53" s="357"/>
      <c r="AI53" s="237"/>
      <c r="AJ53" s="237"/>
    </row>
    <row r="54" spans="8:36" ht="13.5" thickTop="1" x14ac:dyDescent="0.2">
      <c r="I54" s="650" t="str">
        <f>IF(C4&lt;&gt;9999,"","Env "&amp;Z23&amp;"  "&amp;AA23&amp;"  "&amp;AA24&amp;"  "&amp;AA25&amp;"  "&amp;AA26&amp;"     "&amp;AC23&amp;"  "&amp;AD23&amp;"  "&amp;AD24&amp;"  "&amp;AD25&amp;"  "&amp;AD26)</f>
        <v/>
      </c>
      <c r="P54" s="358"/>
      <c r="Q54" s="357"/>
      <c r="R54" s="357"/>
      <c r="S54" s="357"/>
      <c r="T54" s="357"/>
      <c r="U54" s="357"/>
      <c r="V54" s="357"/>
      <c r="W54" s="357"/>
      <c r="X54" s="357"/>
      <c r="Y54" s="357"/>
      <c r="Z54" s="357"/>
      <c r="AA54" s="357"/>
      <c r="AB54" s="357"/>
      <c r="AC54" s="357"/>
      <c r="AD54" s="357"/>
      <c r="AE54" s="357"/>
      <c r="AF54" s="357"/>
      <c r="AG54" s="357"/>
      <c r="AH54" s="357"/>
      <c r="AI54" s="237"/>
      <c r="AJ54" s="237"/>
    </row>
    <row r="55" spans="8:36" x14ac:dyDescent="0.2">
      <c r="I55" s="651" t="str">
        <f>IF(C4&lt;&gt;9999,"","Fuel  T "&amp;T19&amp;"   F "&amp;T18&amp;"      Load   0 "&amp;U37&amp;"  T "&amp;U38&amp;"  F "&amp;U39)</f>
        <v/>
      </c>
      <c r="P55" s="358"/>
      <c r="Q55" s="357"/>
      <c r="R55" s="357"/>
      <c r="S55" s="357"/>
      <c r="T55" s="357"/>
      <c r="U55" s="357"/>
      <c r="V55" s="357"/>
      <c r="W55" s="357"/>
      <c r="X55" s="357"/>
      <c r="Y55" s="357"/>
      <c r="Z55" s="357"/>
      <c r="AA55" s="357"/>
      <c r="AB55" s="357"/>
      <c r="AC55" s="357"/>
      <c r="AD55" s="357"/>
      <c r="AE55" s="357"/>
      <c r="AF55" s="357"/>
      <c r="AG55" s="357"/>
      <c r="AH55" s="357"/>
      <c r="AI55" s="237"/>
      <c r="AJ55" s="237"/>
    </row>
    <row r="56" spans="8:36" x14ac:dyDescent="0.2">
      <c r="P56" s="358"/>
      <c r="Q56" s="357"/>
      <c r="R56" s="357"/>
      <c r="S56" s="357"/>
      <c r="T56" s="357"/>
      <c r="U56" s="357"/>
      <c r="V56" s="357"/>
      <c r="W56" s="357"/>
      <c r="X56" s="357"/>
      <c r="Y56" s="357"/>
      <c r="Z56" s="357"/>
      <c r="AA56" s="357"/>
      <c r="AB56" s="357"/>
      <c r="AC56" s="357"/>
      <c r="AD56" s="357"/>
      <c r="AE56" s="357"/>
      <c r="AF56" s="357"/>
      <c r="AG56" s="357"/>
      <c r="AH56" s="357"/>
      <c r="AI56" s="237"/>
      <c r="AJ56" s="237"/>
    </row>
  </sheetData>
  <sheetProtection password="E398" sheet="1" objects="1" scenarios="1" selectLockedCells="1"/>
  <mergeCells count="45">
    <mergeCell ref="C4:D4"/>
    <mergeCell ref="B1:H1"/>
    <mergeCell ref="C2:E2"/>
    <mergeCell ref="J2:K2"/>
    <mergeCell ref="D3:F3"/>
    <mergeCell ref="J3:K3"/>
    <mergeCell ref="B7:B8"/>
    <mergeCell ref="C7:D8"/>
    <mergeCell ref="E7:F8"/>
    <mergeCell ref="B9:B10"/>
    <mergeCell ref="C9:D10"/>
    <mergeCell ref="E9:F10"/>
    <mergeCell ref="C11:F11"/>
    <mergeCell ref="AA11:AB11"/>
    <mergeCell ref="AF11:AG11"/>
    <mergeCell ref="C12:F12"/>
    <mergeCell ref="AA12:AB12"/>
    <mergeCell ref="AF12:AG12"/>
    <mergeCell ref="AH13:AH15"/>
    <mergeCell ref="D15:E15"/>
    <mergeCell ref="D16:E16"/>
    <mergeCell ref="B21:B22"/>
    <mergeCell ref="C21:F22"/>
    <mergeCell ref="D17:E17"/>
    <mergeCell ref="AF17:AG17"/>
    <mergeCell ref="D18:E18"/>
    <mergeCell ref="D13:E13"/>
    <mergeCell ref="AC13:AC15"/>
    <mergeCell ref="AH37:AH39"/>
    <mergeCell ref="C25:F25"/>
    <mergeCell ref="D28:E28"/>
    <mergeCell ref="F28:H28"/>
    <mergeCell ref="D29:E29"/>
    <mergeCell ref="D30:E30"/>
    <mergeCell ref="F30:H30"/>
    <mergeCell ref="AF35:AG35"/>
    <mergeCell ref="AA36:AB36"/>
    <mergeCell ref="AF36:AG36"/>
    <mergeCell ref="AC37:AC39"/>
    <mergeCell ref="AF41:AG41"/>
    <mergeCell ref="AA35:AB35"/>
    <mergeCell ref="I51:I53"/>
    <mergeCell ref="J51:M53"/>
    <mergeCell ref="C23:F23"/>
    <mergeCell ref="C24:F24"/>
  </mergeCells>
  <conditionalFormatting sqref="T37:T38">
    <cfRule type="expression" dxfId="369" priority="34" stopIfTrue="1">
      <formula>S37=""</formula>
    </cfRule>
  </conditionalFormatting>
  <conditionalFormatting sqref="I26 I28">
    <cfRule type="expression" dxfId="368" priority="35" stopIfTrue="1">
      <formula>E7=""</formula>
    </cfRule>
  </conditionalFormatting>
  <conditionalFormatting sqref="I27 I29:I30">
    <cfRule type="expression" dxfId="367" priority="36" stopIfTrue="1">
      <formula>C9=""</formula>
    </cfRule>
  </conditionalFormatting>
  <conditionalFormatting sqref="U37:U39 V19">
    <cfRule type="expression" dxfId="366" priority="38" stopIfTrue="1">
      <formula>S19=""</formula>
    </cfRule>
  </conditionalFormatting>
  <conditionalFormatting sqref="C25">
    <cfRule type="expression" dxfId="365" priority="39" stopIfTrue="1">
      <formula>AND(C7="",E7+C9+E9&gt;0)</formula>
    </cfRule>
  </conditionalFormatting>
  <conditionalFormatting sqref="B30">
    <cfRule type="expression" dxfId="364" priority="40" stopIfTrue="1">
      <formula>D29&gt;D28</formula>
    </cfRule>
  </conditionalFormatting>
  <conditionalFormatting sqref="D30:E30">
    <cfRule type="expression" dxfId="363" priority="41" stopIfTrue="1">
      <formula>D29&gt;D28</formula>
    </cfRule>
  </conditionalFormatting>
  <conditionalFormatting sqref="F30:H30">
    <cfRule type="expression" dxfId="362" priority="42" stopIfTrue="1">
      <formula>D29&gt;D28</formula>
    </cfRule>
  </conditionalFormatting>
  <conditionalFormatting sqref="B23 B25">
    <cfRule type="cellIs" dxfId="361" priority="43" stopIfTrue="1" operator="notEqual">
      <formula>""</formula>
    </cfRule>
  </conditionalFormatting>
  <conditionalFormatting sqref="B24">
    <cfRule type="cellIs" dxfId="360" priority="45" stopIfTrue="1" operator="notEqual">
      <formula>""</formula>
    </cfRule>
  </conditionalFormatting>
  <conditionalFormatting sqref="R46:R53 R8 R10 R29:R30 R33">
    <cfRule type="cellIs" dxfId="359" priority="46" stopIfTrue="1" operator="notEqual">
      <formula>""</formula>
    </cfRule>
  </conditionalFormatting>
  <conditionalFormatting sqref="S37:S39">
    <cfRule type="expression" dxfId="358" priority="47" stopIfTrue="1">
      <formula>S37=""</formula>
    </cfRule>
  </conditionalFormatting>
  <conditionalFormatting sqref="R18">
    <cfRule type="cellIs" dxfId="357" priority="48" stopIfTrue="1" operator="notEqual">
      <formula>""</formula>
    </cfRule>
  </conditionalFormatting>
  <conditionalFormatting sqref="J5">
    <cfRule type="expression" dxfId="356" priority="49" stopIfTrue="1">
      <formula>expired=TRUE</formula>
    </cfRule>
  </conditionalFormatting>
  <conditionalFormatting sqref="B1:H1">
    <cfRule type="expression" dxfId="355" priority="50" stopIfTrue="1">
      <formula>expired=TRUE</formula>
    </cfRule>
    <cfRule type="expression" dxfId="354" priority="51" stopIfTrue="1">
      <formula>old_ver=TRUE</formula>
    </cfRule>
  </conditionalFormatting>
  <conditionalFormatting sqref="I3">
    <cfRule type="expression" dxfId="353" priority="52" stopIfTrue="1">
      <formula>D3=""</formula>
    </cfRule>
  </conditionalFormatting>
  <conditionalFormatting sqref="J2">
    <cfRule type="expression" dxfId="352" priority="53" stopIfTrue="1">
      <formula>D3=""</formula>
    </cfRule>
  </conditionalFormatting>
  <conditionalFormatting sqref="L2">
    <cfRule type="expression" dxfId="351" priority="54" stopIfTrue="1">
      <formula>D3=""</formula>
    </cfRule>
  </conditionalFormatting>
  <conditionalFormatting sqref="L3">
    <cfRule type="expression" dxfId="350" priority="55" stopIfTrue="1">
      <formula>D3=""</formula>
    </cfRule>
  </conditionalFormatting>
  <conditionalFormatting sqref="J3:K3">
    <cfRule type="expression" dxfId="349" priority="56" stopIfTrue="1">
      <formula>D3=""</formula>
    </cfRule>
  </conditionalFormatting>
  <conditionalFormatting sqref="I2">
    <cfRule type="expression" dxfId="348" priority="57" stopIfTrue="1">
      <formula>AND(D3="",C2="")</formula>
    </cfRule>
  </conditionalFormatting>
  <conditionalFormatting sqref="V21">
    <cfRule type="expression" dxfId="347" priority="32" stopIfTrue="1">
      <formula>T21=""</formula>
    </cfRule>
  </conditionalFormatting>
  <conditionalFormatting sqref="E21:E22">
    <cfRule type="expression" dxfId="346" priority="58" stopIfTrue="1">
      <formula>OR(AC19="out",AF19="out")</formula>
    </cfRule>
  </conditionalFormatting>
  <conditionalFormatting sqref="M17">
    <cfRule type="expression" dxfId="345" priority="59" stopIfTrue="1">
      <formula>AE19="out"</formula>
    </cfRule>
  </conditionalFormatting>
  <conditionalFormatting sqref="K17">
    <cfRule type="expression" dxfId="344" priority="60" stopIfTrue="1">
      <formula>AE19&lt;&gt;"OK"</formula>
    </cfRule>
  </conditionalFormatting>
  <conditionalFormatting sqref="F21:F22">
    <cfRule type="expression" dxfId="343" priority="61" stopIfTrue="1">
      <formula>OR(AE19="out",AG19="out")</formula>
    </cfRule>
  </conditionalFormatting>
  <conditionalFormatting sqref="C21:C22">
    <cfRule type="expression" dxfId="342" priority="62" stopIfTrue="1">
      <formula>OR(AA19="out",AE19="out")</formula>
    </cfRule>
  </conditionalFormatting>
  <conditionalFormatting sqref="D21:D22">
    <cfRule type="expression" dxfId="341" priority="63" stopIfTrue="1">
      <formula>OR(AB19="out",#REF!="out")</formula>
    </cfRule>
  </conditionalFormatting>
  <conditionalFormatting sqref="K20">
    <cfRule type="expression" dxfId="340" priority="64" stopIfTrue="1">
      <formula>AE43&lt;&gt;"OK"</formula>
    </cfRule>
  </conditionalFormatting>
  <conditionalFormatting sqref="J16">
    <cfRule type="expression" dxfId="339" priority="65" stopIfTrue="1">
      <formula>R8&lt;&gt;"OK"</formula>
    </cfRule>
  </conditionalFormatting>
  <conditionalFormatting sqref="J19">
    <cfRule type="expression" dxfId="338" priority="66" stopIfTrue="1">
      <formula>R10&lt;&gt;"OK"</formula>
    </cfRule>
  </conditionalFormatting>
  <conditionalFormatting sqref="B21">
    <cfRule type="expression" dxfId="337" priority="67" stopIfTrue="1">
      <formula>R10&lt;&gt;"OK"</formula>
    </cfRule>
    <cfRule type="expression" dxfId="336" priority="68" stopIfTrue="1">
      <formula>R11&lt;&gt;"OK"</formula>
    </cfRule>
  </conditionalFormatting>
  <conditionalFormatting sqref="V27">
    <cfRule type="expression" dxfId="335" priority="30" stopIfTrue="1">
      <formula>T27=""</formula>
    </cfRule>
  </conditionalFormatting>
  <conditionalFormatting sqref="V26">
    <cfRule type="expression" dxfId="334" priority="31" stopIfTrue="1">
      <formula>S26=""</formula>
    </cfRule>
  </conditionalFormatting>
  <conditionalFormatting sqref="D15:E15">
    <cfRule type="expression" dxfId="333" priority="69" stopIfTrue="1">
      <formula>R18="err"</formula>
    </cfRule>
  </conditionalFormatting>
  <conditionalFormatting sqref="F23">
    <cfRule type="expression" dxfId="332" priority="70" stopIfTrue="1">
      <formula>#REF!&lt;&gt;"OK"</formula>
    </cfRule>
  </conditionalFormatting>
  <conditionalFormatting sqref="M16">
    <cfRule type="expression" dxfId="331" priority="71" stopIfTrue="1">
      <formula>J16&gt;U8</formula>
    </cfRule>
  </conditionalFormatting>
  <conditionalFormatting sqref="V18">
    <cfRule type="expression" dxfId="330" priority="72" stopIfTrue="1">
      <formula>S18=""</formula>
    </cfRule>
  </conditionalFormatting>
  <conditionalFormatting sqref="R31">
    <cfRule type="cellIs" dxfId="329" priority="26" stopIfTrue="1" operator="notEqual">
      <formula>""</formula>
    </cfRule>
  </conditionalFormatting>
  <conditionalFormatting sqref="R34">
    <cfRule type="cellIs" dxfId="328" priority="25" stopIfTrue="1" operator="notEqual">
      <formula>""</formula>
    </cfRule>
  </conditionalFormatting>
  <conditionalFormatting sqref="R32">
    <cfRule type="cellIs" dxfId="327" priority="24" stopIfTrue="1" operator="notEqual">
      <formula>""</formula>
    </cfRule>
  </conditionalFormatting>
  <conditionalFormatting sqref="B22">
    <cfRule type="expression" dxfId="326" priority="1209" stopIfTrue="1">
      <formula>R11&lt;&gt;"OK"</formula>
    </cfRule>
    <cfRule type="expression" dxfId="325" priority="1210" stopIfTrue="1">
      <formula>R29&lt;&gt;"OK"</formula>
    </cfRule>
  </conditionalFormatting>
  <conditionalFormatting sqref="C12">
    <cfRule type="expression" dxfId="324" priority="1211" stopIfTrue="1">
      <formula>R30="ERR"</formula>
    </cfRule>
  </conditionalFormatting>
  <conditionalFormatting sqref="C11">
    <cfRule type="expression" dxfId="323" priority="1212" stopIfTrue="1">
      <formula>R29="ERR"</formula>
    </cfRule>
  </conditionalFormatting>
  <conditionalFormatting sqref="C23:E23">
    <cfRule type="expression" dxfId="322" priority="1213" stopIfTrue="1">
      <formula>R53&lt;&gt;"OK"</formula>
    </cfRule>
  </conditionalFormatting>
  <conditionalFormatting sqref="C7:D8">
    <cfRule type="expression" dxfId="321" priority="1214" stopIfTrue="1">
      <formula>R46&lt;&gt;"OK"</formula>
    </cfRule>
  </conditionalFormatting>
  <conditionalFormatting sqref="D18:E18">
    <cfRule type="expression" dxfId="320" priority="1215" stopIfTrue="1">
      <formula>R51&lt;&gt;"OK"</formula>
    </cfRule>
  </conditionalFormatting>
  <conditionalFormatting sqref="B18 B20">
    <cfRule type="expression" dxfId="319" priority="1216" stopIfTrue="1">
      <formula>R51&lt;&gt;"OK"</formula>
    </cfRule>
  </conditionalFormatting>
  <conditionalFormatting sqref="D19">
    <cfRule type="expression" dxfId="318" priority="1218" stopIfTrue="1">
      <formula>R53&lt;&gt;"ok"</formula>
    </cfRule>
  </conditionalFormatting>
  <conditionalFormatting sqref="D13:E13">
    <cfRule type="expression" dxfId="317" priority="1219">
      <formula>AND(R34="ERR",D13&lt;&gt;0)</formula>
    </cfRule>
    <cfRule type="expression" dxfId="316" priority="1220" stopIfTrue="1">
      <formula>R31="ERR"</formula>
    </cfRule>
  </conditionalFormatting>
  <conditionalFormatting sqref="C11:F11">
    <cfRule type="expression" dxfId="315" priority="1221" stopIfTrue="1">
      <formula>R33="ERR"</formula>
    </cfRule>
    <cfRule type="expression" dxfId="314" priority="1222" stopIfTrue="1">
      <formula>R32="ERR"</formula>
    </cfRule>
  </conditionalFormatting>
  <conditionalFormatting sqref="C12:F12">
    <cfRule type="expression" dxfId="313" priority="1223" stopIfTrue="1">
      <formula>AND(C12&lt;&gt;0,R33="ERR")</formula>
    </cfRule>
    <cfRule type="expression" dxfId="312" priority="1224" stopIfTrue="1">
      <formula>AND(R34="ERR",C12&lt;&gt;0)</formula>
    </cfRule>
  </conditionalFormatting>
  <conditionalFormatting sqref="S21">
    <cfRule type="expression" dxfId="311" priority="12" stopIfTrue="1">
      <formula>T21=""</formula>
    </cfRule>
  </conditionalFormatting>
  <conditionalFormatting sqref="S22:S23">
    <cfRule type="expression" dxfId="310" priority="11" stopIfTrue="1">
      <formula>S22=""</formula>
    </cfRule>
  </conditionalFormatting>
  <conditionalFormatting sqref="S20">
    <cfRule type="expression" dxfId="309" priority="9">
      <formula>AND(OR(T20="",LEFT(T20,1)="F"),T18&lt;&gt;T19)</formula>
    </cfRule>
    <cfRule type="expression" dxfId="308" priority="10">
      <formula>AND(LEFT(T20,1)&lt;&gt;"F",T18=T19)</formula>
    </cfRule>
  </conditionalFormatting>
  <conditionalFormatting sqref="R20">
    <cfRule type="cellIs" dxfId="307" priority="8" stopIfTrue="1" operator="notEqual">
      <formula>""</formula>
    </cfRule>
  </conditionalFormatting>
  <conditionalFormatting sqref="V20">
    <cfRule type="expression" dxfId="306" priority="7" stopIfTrue="1">
      <formula>T20=""</formula>
    </cfRule>
  </conditionalFormatting>
  <conditionalFormatting sqref="S12:S15">
    <cfRule type="expression" dxfId="305" priority="5" stopIfTrue="1">
      <formula>S12=""</formula>
    </cfRule>
  </conditionalFormatting>
  <conditionalFormatting sqref="R11">
    <cfRule type="cellIs" dxfId="304" priority="4" stopIfTrue="1" operator="notEqual">
      <formula>""</formula>
    </cfRule>
  </conditionalFormatting>
  <conditionalFormatting sqref="S19">
    <cfRule type="expression" dxfId="303" priority="2" stopIfTrue="1">
      <formula>#REF!=""</formula>
    </cfRule>
  </conditionalFormatting>
  <conditionalFormatting sqref="C24:F24">
    <cfRule type="cellIs" dxfId="302" priority="1" stopIfTrue="1" operator="notEqual">
      <formula>""</formula>
    </cfRule>
  </conditionalFormatting>
  <dataValidations count="3">
    <dataValidation type="date" allowBlank="1" showInputMessage="1" showErrorMessage="1" errorTitle="Input Error" error="A valid date must be entered into this cell.  Enter as  mm/dd/yy  _x000a__x000a_" sqref="C2:E2" xr:uid="{00000000-0002-0000-0A00-000000000000}">
      <formula1>36526</formula1>
      <formula2>44196</formula2>
    </dataValidation>
    <dataValidation type="custom" allowBlank="1" showInputMessage="1" showErrorMessage="1" errorTitle="Input Error" error="Entry must be a NUMERIC VALUE!" sqref="D15:E17 C7:F12" xr:uid="{00000000-0002-0000-0A00-000001000000}">
      <formula1>ISNUMBER(C7)</formula1>
    </dataValidation>
    <dataValidation type="list" showInputMessage="1" showErrorMessage="1" errorTitle="STANDARD FUELING LEVEL" error="STANDARD FUELING LEVEL MUST BE ENTERED:_x000a_TABS,_x000a_Measured,_x000a_FULL" sqref="T20" xr:uid="{00000000-0002-0000-0A00-000002000000}">
      <formula1>"TABS,Measured,FULL"</formula1>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915DA-4E4E-49E7-AA9A-9AF7EA8D59D2}">
  <sheetPr codeName="Sheet20">
    <tabColor rgb="FF0000FF"/>
    <pageSetUpPr fitToPage="1"/>
  </sheetPr>
  <dimension ref="B1:AJ56"/>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4" width="4.7109375" hidden="1" customWidth="1"/>
    <col min="15" max="15" width="4.28515625" hidden="1" customWidth="1"/>
    <col min="16" max="16" width="11.7109375" style="41" hidden="1" customWidth="1"/>
    <col min="17" max="17" width="9.7109375" style="41" hidden="1" customWidth="1"/>
    <col min="18" max="18" width="8.42578125" style="41" hidden="1" customWidth="1"/>
    <col min="19" max="19" width="19" style="41" hidden="1" customWidth="1"/>
    <col min="20" max="22" width="7.7109375" style="41" hidden="1" customWidth="1"/>
    <col min="23" max="23" width="29.42578125" style="41" hidden="1" customWidth="1"/>
    <col min="24" max="24" width="4.7109375" style="41" hidden="1" customWidth="1"/>
    <col min="25" max="25" width="3.5703125" style="41" hidden="1" customWidth="1"/>
    <col min="26" max="33" width="9.140625" style="41" hidden="1" customWidth="1"/>
    <col min="34" max="34" width="9.5703125" style="41" hidden="1" customWidth="1"/>
    <col min="35" max="36" width="9" hidden="1" customWidth="1"/>
    <col min="37" max="37" width="8.140625" customWidth="1"/>
  </cols>
  <sheetData>
    <row r="1" spans="2:36" ht="22.9" customHeight="1" thickBot="1" x14ac:dyDescent="0.25">
      <c r="B1" s="807" t="str">
        <f ca="1">status_msg</f>
        <v/>
      </c>
      <c r="C1" s="807"/>
      <c r="D1" s="807"/>
      <c r="E1" s="807"/>
      <c r="F1" s="807"/>
      <c r="G1" s="807"/>
      <c r="H1" s="807"/>
      <c r="I1" s="514" t="str">
        <f>Q1</f>
        <v>CAP 939</v>
      </c>
      <c r="J1" s="514" t="str">
        <f>R1</f>
        <v>N493CP</v>
      </c>
      <c r="K1" s="515"/>
      <c r="L1" s="516" t="str">
        <f>S1</f>
        <v>(230hp C182T) Long Range Tanks</v>
      </c>
      <c r="M1" s="517"/>
      <c r="P1" s="354" t="s">
        <v>178</v>
      </c>
      <c r="Q1" s="355" t="s">
        <v>276</v>
      </c>
      <c r="R1" s="355" t="s">
        <v>277</v>
      </c>
      <c r="S1" s="356" t="s">
        <v>181</v>
      </c>
      <c r="T1" s="356"/>
      <c r="U1" s="357"/>
      <c r="V1" s="357"/>
      <c r="W1" s="357"/>
      <c r="X1" s="357"/>
      <c r="Y1" s="357"/>
      <c r="Z1" s="357"/>
      <c r="AA1" s="357"/>
      <c r="AB1" s="357"/>
      <c r="AC1" s="357"/>
      <c r="AD1" s="357"/>
      <c r="AE1" s="357"/>
      <c r="AF1" s="357"/>
      <c r="AG1" s="357"/>
      <c r="AH1" s="357"/>
      <c r="AI1" s="237"/>
      <c r="AJ1" s="237"/>
    </row>
    <row r="2" spans="2:36" ht="15" customHeight="1" thickTop="1" thickBot="1" x14ac:dyDescent="0.25">
      <c r="B2" s="137" t="s">
        <v>131</v>
      </c>
      <c r="C2" s="808"/>
      <c r="D2" s="808"/>
      <c r="E2" s="809"/>
      <c r="F2" s="142" t="str">
        <f>IF(D3="","mm/dd/yy","(if not today)")</f>
        <v>mm/dd/yy</v>
      </c>
      <c r="H2" s="523"/>
      <c r="I2" s="138" t="s">
        <v>131</v>
      </c>
      <c r="J2" s="810" t="str">
        <f>IF(C3="","","Mission Symbol")&amp;"   Mission No:"</f>
        <v xml:space="preserve">   Mission No:</v>
      </c>
      <c r="K2" s="810"/>
      <c r="L2" s="684" t="s">
        <v>130</v>
      </c>
      <c r="P2" s="358"/>
      <c r="Q2" s="359" t="s">
        <v>173</v>
      </c>
      <c r="R2" s="359" t="s">
        <v>145</v>
      </c>
      <c r="S2" s="360" t="s">
        <v>172</v>
      </c>
      <c r="T2" s="361"/>
      <c r="U2" s="357"/>
      <c r="V2" s="357"/>
      <c r="W2" s="357"/>
      <c r="X2" s="357"/>
      <c r="Y2" s="357"/>
      <c r="Z2" s="357"/>
      <c r="AA2" s="357"/>
      <c r="AB2" s="357"/>
      <c r="AC2" s="357"/>
      <c r="AD2" s="357"/>
      <c r="AE2" s="357"/>
      <c r="AF2" s="357"/>
      <c r="AG2" s="357"/>
      <c r="AH2" s="357"/>
      <c r="AI2" s="237"/>
      <c r="AJ2" s="237"/>
    </row>
    <row r="3" spans="2:36" ht="15" customHeight="1" thickTop="1" thickBot="1" x14ac:dyDescent="0.25">
      <c r="B3" s="140" t="s">
        <v>137</v>
      </c>
      <c r="C3" s="683"/>
      <c r="D3" s="811"/>
      <c r="E3" s="811"/>
      <c r="F3" s="812"/>
      <c r="I3" s="131" t="str">
        <f ca="1">IF(AND(D3="",C2=""),"",IF(C2="",TODAY(),C2))</f>
        <v/>
      </c>
      <c r="J3" s="813" t="str">
        <f>IF(C3="","",IF(D3="","",C3))&amp;"      "&amp;IF(D3="","",D3)</f>
        <v xml:space="preserve">      </v>
      </c>
      <c r="K3" s="814"/>
      <c r="L3" s="132" t="str">
        <f>IF(C4="","",C4)</f>
        <v/>
      </c>
      <c r="P3" s="362"/>
      <c r="Q3" s="363"/>
      <c r="R3" s="363"/>
      <c r="S3" s="357"/>
      <c r="T3" s="357"/>
      <c r="U3" s="357"/>
      <c r="V3" s="357"/>
      <c r="W3" s="357"/>
      <c r="X3" s="357"/>
      <c r="Y3" s="357"/>
      <c r="Z3" s="364"/>
      <c r="AA3" s="357"/>
      <c r="AB3" s="365"/>
      <c r="AC3" s="357"/>
      <c r="AD3" s="357"/>
      <c r="AE3" s="357"/>
      <c r="AF3" s="357"/>
      <c r="AG3" s="357"/>
      <c r="AH3" s="357"/>
      <c r="AI3" s="237"/>
      <c r="AJ3" s="237"/>
    </row>
    <row r="4" spans="2:36" ht="12" customHeight="1" thickTop="1" x14ac:dyDescent="0.2">
      <c r="B4" s="140" t="s">
        <v>130</v>
      </c>
      <c r="C4" s="822"/>
      <c r="D4" s="823"/>
      <c r="E4" s="140"/>
      <c r="I4" s="687" t="s">
        <v>286</v>
      </c>
      <c r="J4" s="689"/>
      <c r="K4" s="688"/>
      <c r="L4" s="688"/>
      <c r="M4" s="688"/>
      <c r="P4" s="553" t="s">
        <v>222</v>
      </c>
      <c r="Q4" s="366"/>
      <c r="R4" s="366"/>
      <c r="S4" s="357"/>
      <c r="T4" s="367" t="s">
        <v>98</v>
      </c>
      <c r="U4" s="368"/>
      <c r="V4" s="369" t="s">
        <v>99</v>
      </c>
      <c r="W4" s="357"/>
      <c r="X4" s="357"/>
      <c r="Y4" s="357"/>
      <c r="Z4" s="357"/>
      <c r="AA4" s="357"/>
      <c r="AB4" s="357"/>
      <c r="AC4" s="357"/>
      <c r="AD4" s="357"/>
      <c r="AE4" s="357"/>
      <c r="AF4" s="357"/>
      <c r="AG4" s="357"/>
      <c r="AH4" s="357"/>
      <c r="AI4" s="237"/>
      <c r="AJ4" s="237"/>
    </row>
    <row r="5" spans="2:36" ht="12" customHeight="1" x14ac:dyDescent="0.2">
      <c r="I5" s="35"/>
      <c r="J5" s="36"/>
      <c r="K5" s="36"/>
      <c r="L5" s="36"/>
      <c r="M5" s="134" t="str">
        <f>"Release ID:   "&amp;release_nbr&amp;"    "&amp;TEXT(release_date,"dd mmm yyyy  ")</f>
        <v xml:space="preserve">Release ID:   R1    21 Mar 2020  </v>
      </c>
      <c r="P5" s="362"/>
      <c r="Q5" s="357"/>
      <c r="R5" s="357"/>
      <c r="S5" s="357"/>
      <c r="T5" s="357"/>
      <c r="U5" s="357"/>
      <c r="V5" s="357"/>
      <c r="W5" s="357"/>
      <c r="X5" s="357"/>
      <c r="Y5" s="357"/>
      <c r="Z5" s="357"/>
      <c r="AA5" s="357"/>
      <c r="AB5" s="357"/>
      <c r="AC5" s="357"/>
      <c r="AD5" s="357"/>
      <c r="AE5" s="357"/>
      <c r="AF5" s="357"/>
      <c r="AG5" s="357"/>
      <c r="AH5" s="357"/>
      <c r="AI5" s="237"/>
      <c r="AJ5" s="237"/>
    </row>
    <row r="6" spans="2:36" ht="12.75" customHeight="1" thickBot="1" x14ac:dyDescent="0.35">
      <c r="B6" s="3" t="s">
        <v>31</v>
      </c>
      <c r="I6" s="37" t="s">
        <v>0</v>
      </c>
      <c r="J6" s="38" t="s">
        <v>1</v>
      </c>
      <c r="K6" s="38" t="s">
        <v>2</v>
      </c>
      <c r="L6" s="39" t="s">
        <v>97</v>
      </c>
      <c r="M6" s="133" t="s">
        <v>3</v>
      </c>
      <c r="P6" s="362"/>
      <c r="Q6" s="370" t="s">
        <v>120</v>
      </c>
      <c r="R6" s="371"/>
      <c r="S6" s="371"/>
      <c r="T6" s="371"/>
      <c r="U6" s="372" t="s">
        <v>1</v>
      </c>
      <c r="V6" s="372" t="s">
        <v>2</v>
      </c>
      <c r="W6" s="373" t="s">
        <v>179</v>
      </c>
      <c r="X6" s="357"/>
      <c r="Y6" s="357"/>
      <c r="Z6" s="357"/>
      <c r="AA6" s="357"/>
      <c r="AB6" s="374" t="s">
        <v>163</v>
      </c>
      <c r="AC6" s="371"/>
      <c r="AD6" s="371"/>
      <c r="AE6" s="371"/>
      <c r="AF6" s="371"/>
      <c r="AG6" s="371"/>
      <c r="AH6" s="357"/>
      <c r="AI6" s="237"/>
      <c r="AJ6" s="237"/>
    </row>
    <row r="7" spans="2:36" ht="15" customHeight="1" thickTop="1" thickBot="1" x14ac:dyDescent="0.25">
      <c r="B7" s="803" t="s">
        <v>32</v>
      </c>
      <c r="C7" s="802"/>
      <c r="D7" s="804"/>
      <c r="E7" s="802"/>
      <c r="F7" s="800"/>
      <c r="H7" s="1"/>
      <c r="I7" s="13" t="s">
        <v>4</v>
      </c>
      <c r="J7" s="188">
        <f>U7</f>
        <v>2042</v>
      </c>
      <c r="K7" s="67">
        <f>V7</f>
        <v>39.5</v>
      </c>
      <c r="L7" s="68">
        <f>ROUND(J7*K7/1000,5)</f>
        <v>80.659000000000006</v>
      </c>
      <c r="M7" s="586" t="str">
        <f>IF(W7="","",W7)</f>
        <v xml:space="preserve">W/B: </v>
      </c>
      <c r="P7" s="362"/>
      <c r="Q7" s="375" t="str">
        <f>"Ln"&amp;ROW()</f>
        <v>Ln7</v>
      </c>
      <c r="R7" s="376"/>
      <c r="S7" s="377" t="s">
        <v>4</v>
      </c>
      <c r="T7" s="378"/>
      <c r="U7" s="379">
        <v>2042</v>
      </c>
      <c r="V7" s="380">
        <v>39.5</v>
      </c>
      <c r="W7" s="381" t="s">
        <v>278</v>
      </c>
      <c r="X7" s="357"/>
      <c r="Y7" s="357"/>
      <c r="Z7" s="357"/>
      <c r="AA7" s="357"/>
      <c r="AB7" s="357"/>
      <c r="AC7" s="382"/>
      <c r="AD7" s="383" t="s">
        <v>162</v>
      </c>
      <c r="AE7" s="357"/>
      <c r="AF7" s="357"/>
      <c r="AG7" s="357"/>
      <c r="AH7" s="357"/>
      <c r="AI7" s="237"/>
      <c r="AJ7" s="237"/>
    </row>
    <row r="8" spans="2:36" ht="15" customHeight="1" thickTop="1" thickBot="1" x14ac:dyDescent="0.25">
      <c r="B8" s="803"/>
      <c r="C8" s="802"/>
      <c r="D8" s="804"/>
      <c r="E8" s="802"/>
      <c r="F8" s="800"/>
      <c r="H8" s="1"/>
      <c r="I8" s="125" t="s">
        <v>10</v>
      </c>
      <c r="J8" s="189">
        <f>D15*6</f>
        <v>384</v>
      </c>
      <c r="K8" s="69">
        <f>U18</f>
        <v>46.5</v>
      </c>
      <c r="L8" s="72">
        <f t="shared" ref="L8:L13" si="0">ROUND((J8*K8)/1000,5)</f>
        <v>17.856000000000002</v>
      </c>
      <c r="M8" s="11" t="str">
        <f>V18&amp;" lbs Max ("&amp;T18&amp;" gals)  "&amp;IF(OR(T18=T19,T19="",T19=0),"",V19&amp;" lbs Tabs ("&amp;T19&amp;" gals)")</f>
        <v>522 lbs Max (87 gals)  384 lbs Tabs (64 gals)</v>
      </c>
      <c r="P8" s="362"/>
      <c r="Q8" s="375" t="str">
        <f t="shared" ref="Q8:Q34" si="1">"Ln"&amp;ROW()</f>
        <v>Ln8</v>
      </c>
      <c r="R8" s="384" t="str">
        <f ca="1">IF(J16&gt;U8,"ERR","OK")</f>
        <v>OK</v>
      </c>
      <c r="S8" s="377" t="s">
        <v>168</v>
      </c>
      <c r="T8" s="378"/>
      <c r="U8" s="385">
        <v>3100</v>
      </c>
      <c r="V8" s="357"/>
      <c r="W8" s="357"/>
      <c r="X8" s="357"/>
      <c r="Y8" s="386"/>
      <c r="Z8" s="387"/>
      <c r="AA8" s="388">
        <v>3100</v>
      </c>
      <c r="AC8" s="624">
        <f>AA8</f>
        <v>3100</v>
      </c>
      <c r="AD8" s="357"/>
      <c r="AF8" s="389">
        <v>40.9</v>
      </c>
      <c r="AH8" s="390">
        <v>46</v>
      </c>
      <c r="AI8" s="237"/>
      <c r="AJ8" s="237"/>
    </row>
    <row r="9" spans="2:36" ht="15" customHeight="1" thickTop="1" thickBot="1" x14ac:dyDescent="0.25">
      <c r="B9" s="803" t="s">
        <v>33</v>
      </c>
      <c r="C9" s="802"/>
      <c r="D9" s="804"/>
      <c r="E9" s="802"/>
      <c r="F9" s="800"/>
      <c r="H9" s="1"/>
      <c r="I9" s="125" t="s">
        <v>11</v>
      </c>
      <c r="J9" s="189">
        <f>C7+E7</f>
        <v>0</v>
      </c>
      <c r="K9" s="69">
        <f>U26</f>
        <v>37</v>
      </c>
      <c r="L9" s="72">
        <f t="shared" si="0"/>
        <v>0</v>
      </c>
      <c r="M9" s="11" t="str">
        <f>IF(W26="","",W26)</f>
        <v/>
      </c>
      <c r="P9" s="362"/>
      <c r="Q9" s="375" t="str">
        <f t="shared" si="1"/>
        <v>Ln9</v>
      </c>
      <c r="R9" s="391"/>
      <c r="S9" s="377" t="s">
        <v>169</v>
      </c>
      <c r="T9" s="378"/>
      <c r="U9" s="385">
        <v>3110</v>
      </c>
      <c r="V9" s="392"/>
      <c r="W9" s="393" t="s">
        <v>176</v>
      </c>
      <c r="X9" s="357"/>
      <c r="Y9" s="394"/>
      <c r="Z9" s="395"/>
      <c r="AD9" s="357"/>
      <c r="AI9" s="237"/>
      <c r="AJ9" s="237"/>
    </row>
    <row r="10" spans="2:36" ht="15" customHeight="1" thickTop="1" thickBot="1" x14ac:dyDescent="0.3">
      <c r="B10" s="803"/>
      <c r="C10" s="802"/>
      <c r="D10" s="804"/>
      <c r="E10" s="802"/>
      <c r="F10" s="800"/>
      <c r="H10" s="1"/>
      <c r="I10" s="125" t="s">
        <v>12</v>
      </c>
      <c r="J10" s="189">
        <f>C9+E9</f>
        <v>0</v>
      </c>
      <c r="K10" s="69">
        <f>U27</f>
        <v>74</v>
      </c>
      <c r="L10" s="72">
        <f t="shared" si="0"/>
        <v>0</v>
      </c>
      <c r="M10" s="11" t="str">
        <f>IF(W27="","",W27)</f>
        <v/>
      </c>
      <c r="P10" s="362"/>
      <c r="Q10" s="375" t="str">
        <f t="shared" si="1"/>
        <v>Ln10</v>
      </c>
      <c r="R10" s="384" t="str">
        <f>IF(U8=U10,"OK",IF(J20&gt;U10,"WARN","OK"))</f>
        <v>OK</v>
      </c>
      <c r="S10" s="377" t="s">
        <v>170</v>
      </c>
      <c r="T10" s="378"/>
      <c r="U10" s="385">
        <v>2950</v>
      </c>
      <c r="V10" s="392"/>
      <c r="W10" s="393" t="s">
        <v>176</v>
      </c>
      <c r="X10" s="357"/>
      <c r="Y10" s="396" t="s">
        <v>155</v>
      </c>
      <c r="Z10" s="388">
        <v>2700</v>
      </c>
      <c r="AD10" s="357"/>
      <c r="AE10" s="389">
        <v>35.5</v>
      </c>
      <c r="AI10" s="237"/>
      <c r="AJ10" s="237"/>
    </row>
    <row r="11" spans="2:36" ht="15" customHeight="1" thickTop="1" thickBot="1" x14ac:dyDescent="0.3">
      <c r="B11" s="6" t="s">
        <v>25</v>
      </c>
      <c r="C11" s="800"/>
      <c r="D11" s="801"/>
      <c r="E11" s="801"/>
      <c r="F11" s="802"/>
      <c r="H11" s="1"/>
      <c r="I11" s="19" t="s">
        <v>13</v>
      </c>
      <c r="J11" s="189">
        <f>C11</f>
        <v>0</v>
      </c>
      <c r="K11" s="69">
        <f>U29</f>
        <v>97</v>
      </c>
      <c r="L11" s="72">
        <f t="shared" si="0"/>
        <v>0</v>
      </c>
      <c r="M11" s="11" t="str">
        <f>V29&amp;" lbs max ("&amp;V32&amp;" max baggage 1+2+3)"</f>
        <v>120 lbs max (200 max baggage 1+2+3)</v>
      </c>
      <c r="P11" s="362"/>
      <c r="Q11" s="375" t="str">
        <f t="shared" si="1"/>
        <v>Ln11</v>
      </c>
      <c r="R11" s="384" t="str">
        <f ca="1">IF(U8=U10,"OK",IF(J19&gt;U11,"WARN","OK"))</f>
        <v>OK</v>
      </c>
      <c r="S11" s="397" t="s">
        <v>171</v>
      </c>
      <c r="T11" s="398"/>
      <c r="U11" s="399">
        <f>U10</f>
        <v>2950</v>
      </c>
      <c r="V11" s="357"/>
      <c r="W11" s="357"/>
      <c r="X11" s="357"/>
      <c r="Y11" s="396" t="s">
        <v>50</v>
      </c>
      <c r="Z11" s="395"/>
      <c r="AA11" s="766" t="s">
        <v>1</v>
      </c>
      <c r="AB11" s="766"/>
      <c r="AD11" s="357"/>
      <c r="AF11" s="766" t="s">
        <v>154</v>
      </c>
      <c r="AG11" s="766"/>
      <c r="AI11" s="237"/>
      <c r="AJ11" s="237"/>
    </row>
    <row r="12" spans="2:36" ht="15" customHeight="1" thickTop="1" thickBot="1" x14ac:dyDescent="0.3">
      <c r="B12" s="6" t="s">
        <v>26</v>
      </c>
      <c r="C12" s="800"/>
      <c r="D12" s="801"/>
      <c r="E12" s="801"/>
      <c r="F12" s="802"/>
      <c r="H12" s="1"/>
      <c r="I12" s="19" t="s">
        <v>14</v>
      </c>
      <c r="J12" s="189">
        <f>C12</f>
        <v>0</v>
      </c>
      <c r="K12" s="69">
        <f>U30</f>
        <v>116</v>
      </c>
      <c r="L12" s="72">
        <f t="shared" si="0"/>
        <v>0</v>
      </c>
      <c r="M12" s="11" t="str">
        <f>V30&amp;" lbs max  ("&amp;V34&amp;" max baggage 2+3)"</f>
        <v>80 lbs max  (80 max baggage 2+3)</v>
      </c>
      <c r="P12" s="362"/>
      <c r="Q12" s="375" t="str">
        <f t="shared" si="1"/>
        <v>Ln12</v>
      </c>
      <c r="R12" s="391"/>
      <c r="S12" s="400" t="s">
        <v>7</v>
      </c>
      <c r="T12" s="391"/>
      <c r="U12" s="391"/>
      <c r="V12" s="392"/>
      <c r="W12" s="393" t="s">
        <v>176</v>
      </c>
      <c r="X12" s="357"/>
      <c r="Y12" s="396" t="s">
        <v>56</v>
      </c>
      <c r="Z12" s="388">
        <v>2250</v>
      </c>
      <c r="AA12" s="766" t="s">
        <v>153</v>
      </c>
      <c r="AB12" s="766"/>
      <c r="AD12" s="357"/>
      <c r="AE12" s="623">
        <f>AE16</f>
        <v>33</v>
      </c>
      <c r="AF12" s="766" t="s">
        <v>153</v>
      </c>
      <c r="AG12" s="766"/>
      <c r="AI12" s="237"/>
      <c r="AJ12" s="237"/>
    </row>
    <row r="13" spans="2:36" ht="15" customHeight="1" thickTop="1" x14ac:dyDescent="0.25">
      <c r="B13" s="508" t="s">
        <v>70</v>
      </c>
      <c r="D13" s="821"/>
      <c r="E13" s="821"/>
      <c r="H13" s="1"/>
      <c r="I13" s="19" t="s">
        <v>17</v>
      </c>
      <c r="J13" s="189">
        <f>D13</f>
        <v>0</v>
      </c>
      <c r="K13" s="69">
        <f>U31</f>
        <v>129</v>
      </c>
      <c r="L13" s="72">
        <f t="shared" si="0"/>
        <v>0</v>
      </c>
      <c r="M13" s="513" t="str">
        <f>V31&amp;" Lbs Max (on shelf)"</f>
        <v>80 Lbs Max (on shelf)</v>
      </c>
      <c r="P13" s="362"/>
      <c r="Q13" s="375" t="str">
        <f t="shared" si="1"/>
        <v>Ln13</v>
      </c>
      <c r="R13" s="391"/>
      <c r="S13" s="400" t="s">
        <v>194</v>
      </c>
      <c r="T13" s="391"/>
      <c r="U13" s="391"/>
      <c r="V13" s="392"/>
      <c r="W13" s="393" t="s">
        <v>176</v>
      </c>
      <c r="X13" s="357"/>
      <c r="Y13" s="396" t="s">
        <v>57</v>
      </c>
      <c r="Z13" s="395"/>
      <c r="AC13" s="767" t="s">
        <v>157</v>
      </c>
      <c r="AD13" s="357"/>
      <c r="AH13" s="767" t="s">
        <v>167</v>
      </c>
      <c r="AI13" s="237"/>
      <c r="AJ13" s="237"/>
    </row>
    <row r="14" spans="2:36" ht="15" customHeight="1" thickBot="1" x14ac:dyDescent="0.35">
      <c r="B14" s="3"/>
      <c r="C14" s="235"/>
      <c r="D14" s="2"/>
      <c r="E14" s="2"/>
      <c r="F14" s="40" t="str">
        <f>IF(R20="err","","(Std Fueling "&amp;T19&amp;" gal ("&amp;T20&amp;"))")</f>
        <v>(Std Fueling 64 gal (TABS))</v>
      </c>
      <c r="H14" s="1"/>
      <c r="I14" s="15" t="s">
        <v>6</v>
      </c>
      <c r="J14" s="71">
        <f>SUM(J7:J13)</f>
        <v>2426</v>
      </c>
      <c r="K14" s="26"/>
      <c r="L14" s="70">
        <f>SUM(L7:L13)</f>
        <v>98.515000000000015</v>
      </c>
      <c r="M14" s="11" t="str">
        <f>"Max Ramp Weight: "&amp;TEXT(U9,"#,###")&amp;IF(U8&lt;&gt;U10," - Landing "&amp;TEXT(U10,"#,###"),"")</f>
        <v>Max Ramp Weight: 3,110 - Landing 2,950</v>
      </c>
      <c r="P14" s="362"/>
      <c r="Q14" s="375" t="str">
        <f t="shared" si="1"/>
        <v>Ln14</v>
      </c>
      <c r="R14" s="391"/>
      <c r="S14" s="400" t="s">
        <v>24</v>
      </c>
      <c r="T14" s="391"/>
      <c r="U14" s="391"/>
      <c r="V14" s="392"/>
      <c r="W14" s="393" t="s">
        <v>177</v>
      </c>
      <c r="X14" s="357"/>
      <c r="Y14" s="396" t="s">
        <v>156</v>
      </c>
      <c r="Z14" s="395"/>
      <c r="AC14" s="767"/>
      <c r="AD14" s="357"/>
      <c r="AH14" s="767"/>
      <c r="AI14" s="237"/>
      <c r="AJ14" s="237"/>
    </row>
    <row r="15" spans="2:36" ht="15" customHeight="1" thickTop="1" thickBot="1" x14ac:dyDescent="0.3">
      <c r="B15" s="32" t="s">
        <v>88</v>
      </c>
      <c r="C15" s="4"/>
      <c r="D15" s="793">
        <v>64</v>
      </c>
      <c r="E15" s="793"/>
      <c r="F15" s="5" t="s">
        <v>36</v>
      </c>
      <c r="H15" s="1"/>
      <c r="I15" s="16" t="s">
        <v>15</v>
      </c>
      <c r="J15" s="585">
        <f>V21</f>
        <v>-10</v>
      </c>
      <c r="K15" s="69">
        <f>U18</f>
        <v>46.5</v>
      </c>
      <c r="L15" s="72">
        <f>ROUND((J15*K15)/1000,5)</f>
        <v>-0.46500000000000002</v>
      </c>
      <c r="M15" s="11" t="s">
        <v>16</v>
      </c>
      <c r="P15" s="362"/>
      <c r="Q15" s="375" t="str">
        <f t="shared" si="1"/>
        <v>Ln15</v>
      </c>
      <c r="R15" s="391"/>
      <c r="S15" s="400" t="s">
        <v>193</v>
      </c>
      <c r="T15" s="391"/>
      <c r="U15" s="391"/>
      <c r="V15" s="392"/>
      <c r="W15" s="393" t="s">
        <v>177</v>
      </c>
      <c r="X15" s="357"/>
      <c r="Y15" s="396" t="s">
        <v>47</v>
      </c>
      <c r="Z15" s="388">
        <v>1800</v>
      </c>
      <c r="AC15" s="792"/>
      <c r="AD15" s="357"/>
      <c r="AH15" s="792"/>
      <c r="AI15" s="237"/>
      <c r="AJ15" s="237"/>
    </row>
    <row r="16" spans="2:36" ht="15" customHeight="1" thickTop="1" thickBot="1" x14ac:dyDescent="0.25">
      <c r="B16" s="32" t="s">
        <v>35</v>
      </c>
      <c r="C16" s="2"/>
      <c r="D16" s="794"/>
      <c r="E16" s="795"/>
      <c r="F16" s="5" t="s">
        <v>108</v>
      </c>
      <c r="H16" s="1"/>
      <c r="I16" s="17" t="s">
        <v>7</v>
      </c>
      <c r="J16" s="126">
        <f ca="1">IF(expired=TRUE,9999,SUM(J14:J15))</f>
        <v>2416</v>
      </c>
      <c r="K16" s="73" t="s">
        <v>5</v>
      </c>
      <c r="L16" s="74">
        <f>SUM(L14:L15)</f>
        <v>98.050000000000011</v>
      </c>
      <c r="M16" s="110" t="str">
        <f>"Max Gross: "&amp;TEXT(U8,"#,##0")&amp;"   Useful Load: "&amp;TEXT(U37,"#,##0")</f>
        <v>Max Gross: 3,100   Useful Load: 1,058</v>
      </c>
      <c r="P16" s="362"/>
      <c r="Q16" s="401"/>
      <c r="R16" s="401"/>
      <c r="S16" s="401"/>
      <c r="T16" s="401"/>
      <c r="U16" s="401"/>
      <c r="V16" s="401"/>
      <c r="W16" s="401"/>
      <c r="X16" s="357"/>
      <c r="Y16" s="402"/>
      <c r="Z16" s="395"/>
      <c r="AC16" s="403">
        <f>AC8</f>
        <v>3100</v>
      </c>
      <c r="AD16" s="357"/>
      <c r="AE16" s="404">
        <v>33</v>
      </c>
      <c r="AF16" s="82"/>
      <c r="AG16" s="82"/>
      <c r="AH16" s="405">
        <f>AH8</f>
        <v>46</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40.583609271523187</v>
      </c>
      <c r="L17" s="75" t="s">
        <v>5</v>
      </c>
      <c r="M17" s="12" t="s">
        <v>9</v>
      </c>
      <c r="P17" s="362"/>
      <c r="Q17" s="370" t="s">
        <v>158</v>
      </c>
      <c r="R17" s="371"/>
      <c r="S17" s="371"/>
      <c r="T17" s="406" t="s">
        <v>174</v>
      </c>
      <c r="U17" s="372" t="s">
        <v>2</v>
      </c>
      <c r="V17" s="372" t="s">
        <v>1</v>
      </c>
      <c r="W17" s="373" t="s">
        <v>179</v>
      </c>
      <c r="X17" s="357"/>
      <c r="Y17" s="407"/>
      <c r="Z17" s="408"/>
      <c r="AD17" s="357"/>
      <c r="AE17" s="409"/>
      <c r="AF17" s="797" t="s">
        <v>161</v>
      </c>
      <c r="AG17" s="797"/>
      <c r="AH17" s="410"/>
      <c r="AI17" s="237"/>
      <c r="AJ17" s="237"/>
    </row>
    <row r="18" spans="2:36" ht="15" customHeight="1" thickTop="1" thickBot="1" x14ac:dyDescent="0.25">
      <c r="B18" s="32" t="s">
        <v>139</v>
      </c>
      <c r="D18" s="798">
        <f>D16*D17</f>
        <v>0</v>
      </c>
      <c r="E18" s="799"/>
      <c r="F18" s="5" t="s">
        <v>36</v>
      </c>
      <c r="H18" s="1"/>
      <c r="I18" s="23" t="s">
        <v>23</v>
      </c>
      <c r="J18" s="25">
        <f>D18*6*-1</f>
        <v>0</v>
      </c>
      <c r="K18" s="25">
        <f>K8</f>
        <v>46.5</v>
      </c>
      <c r="L18" s="92">
        <f>ROUND((J18*K18)/1000,5)</f>
        <v>0</v>
      </c>
      <c r="M18" s="29" t="s">
        <v>73</v>
      </c>
      <c r="P18" s="362"/>
      <c r="Q18" s="375" t="str">
        <f t="shared" si="1"/>
        <v>Ln18</v>
      </c>
      <c r="R18" s="384" t="str">
        <f>IF(D15&gt;T18,"ERR","OK")</f>
        <v>OK</v>
      </c>
      <c r="S18" s="548" t="s">
        <v>239</v>
      </c>
      <c r="T18" s="411">
        <v>87</v>
      </c>
      <c r="U18" s="380">
        <v>46.5</v>
      </c>
      <c r="V18" s="412">
        <f>T18*6</f>
        <v>522</v>
      </c>
      <c r="W18" s="393" t="s">
        <v>176</v>
      </c>
      <c r="X18" s="357"/>
      <c r="Y18" s="357"/>
      <c r="Z18" s="357"/>
      <c r="AA18" s="357"/>
      <c r="AB18" s="357"/>
      <c r="AC18" s="357"/>
      <c r="AD18" s="357"/>
      <c r="AE18" s="357"/>
      <c r="AF18" s="357"/>
      <c r="AG18" s="357"/>
      <c r="AH18" s="35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587">
        <f ca="1">SUM(J16:J18)</f>
        <v>2416</v>
      </c>
      <c r="K19" s="93"/>
      <c r="L19" s="24">
        <f>SUM(L16:L18)</f>
        <v>98.050000000000011</v>
      </c>
      <c r="M19" s="29" t="str">
        <f>IF(U8=U10,"Landing Weight Limit same as Takeoff Weight","Max Landing Weight  "&amp;TEXT(U10,"#,##0"))</f>
        <v>Max Landing Weight  2,950</v>
      </c>
      <c r="P19" s="362"/>
      <c r="Q19" s="375" t="str">
        <f t="shared" si="1"/>
        <v>Ln19</v>
      </c>
      <c r="R19" s="391"/>
      <c r="S19" s="549" t="s">
        <v>240</v>
      </c>
      <c r="T19" s="411">
        <v>64</v>
      </c>
      <c r="U19" s="413"/>
      <c r="V19" s="412">
        <f>T19*6</f>
        <v>384</v>
      </c>
      <c r="W19" s="357"/>
      <c r="X19" s="357"/>
      <c r="Y19" s="357"/>
      <c r="Z19" s="357"/>
      <c r="AA19" s="414" t="str">
        <f ca="1">IF(AA20&gt;U8,"OUT","OK")</f>
        <v>OK</v>
      </c>
      <c r="AB19" s="415" t="s">
        <v>164</v>
      </c>
      <c r="AC19" s="357"/>
      <c r="AD19" s="357"/>
      <c r="AE19" s="414" t="str">
        <f ca="1">IF(AA19="out","out",IF(AND(AE20&gt;=AG20,AE20&lt;=AH20),"OK","OUT"))</f>
        <v>OK</v>
      </c>
      <c r="AF19" s="357"/>
      <c r="AG19" s="357"/>
      <c r="AH19" s="357"/>
      <c r="AI19" s="237"/>
      <c r="AJ19" s="237"/>
    </row>
    <row r="20" spans="2:36" ht="15" customHeight="1" thickTop="1" thickBot="1" x14ac:dyDescent="0.25">
      <c r="B20" s="135" t="s">
        <v>132</v>
      </c>
      <c r="I20" s="28" t="s">
        <v>8</v>
      </c>
      <c r="J20" s="94"/>
      <c r="K20" s="589">
        <f ca="1">(L19*1000)/J19</f>
        <v>40.583609271523187</v>
      </c>
      <c r="L20" s="588"/>
      <c r="M20" s="30" t="s">
        <v>65</v>
      </c>
      <c r="P20" s="362"/>
      <c r="Q20" s="375" t="str">
        <f t="shared" si="1"/>
        <v>Ln20</v>
      </c>
      <c r="R20" s="83" t="str">
        <f>IF(AND(T18=T19,LEFT(T20,1)="F"),"OK",IF(AND(T18&lt;&gt;T19,LEFT(T20,1)&lt;&gt;"F"),"OK","ERR"))</f>
        <v>OK</v>
      </c>
      <c r="S20" s="547" t="s">
        <v>188</v>
      </c>
      <c r="T20" s="546" t="s">
        <v>187</v>
      </c>
      <c r="U20" s="397" t="s">
        <v>190</v>
      </c>
      <c r="V20" s="412"/>
      <c r="W20" s="392"/>
      <c r="X20" s="357"/>
      <c r="Y20" s="416" t="s">
        <v>47</v>
      </c>
      <c r="Z20" s="417" t="s">
        <v>1</v>
      </c>
      <c r="AA20" s="418">
        <f ca="1">J16</f>
        <v>2416</v>
      </c>
      <c r="AB20" s="419"/>
      <c r="AC20" s="420"/>
      <c r="AD20" s="421" t="s">
        <v>40</v>
      </c>
      <c r="AE20" s="422">
        <f ca="1">K17</f>
        <v>40.583609271523187</v>
      </c>
      <c r="AF20" s="423" t="s">
        <v>61</v>
      </c>
      <c r="AG20" s="424">
        <f ca="1">VLOOKUP(AA20,Z23:AH26,8,TRUE)</f>
        <v>33.922960000000003</v>
      </c>
      <c r="AH20" s="425">
        <f ca="1">VLOOKUP(AA20,Z23:AH26,9,TRUE)</f>
        <v>46</v>
      </c>
      <c r="AI20" s="237"/>
      <c r="AJ20" s="237"/>
    </row>
    <row r="21" spans="2:36" ht="13.5" thickTop="1" x14ac:dyDescent="0.2">
      <c r="B21" s="770" t="str">
        <f ca="1">IF(R10&lt;&gt;"OK","Caution - Landing Weight",IF(R11&lt;&gt;"OK","Watch Early Landing Weight",""))</f>
        <v/>
      </c>
      <c r="C21" s="772" t="str">
        <f ca="1">IF(OR(AA19="out",AE19="out"),"CAUTION:   Wt or CG Out of Limits","")</f>
        <v/>
      </c>
      <c r="D21" s="772"/>
      <c r="E21" s="772"/>
      <c r="F21" s="773"/>
      <c r="P21" s="362"/>
      <c r="Q21" s="375" t="str">
        <f t="shared" si="1"/>
        <v>Ln21</v>
      </c>
      <c r="R21" s="391"/>
      <c r="S21" s="548" t="s">
        <v>191</v>
      </c>
      <c r="T21" s="411">
        <v>1.7</v>
      </c>
      <c r="U21" s="413"/>
      <c r="V21" s="412">
        <f>ROUND(T21*6,0)*-1</f>
        <v>-10</v>
      </c>
      <c r="W21" s="357"/>
      <c r="X21" s="357"/>
      <c r="Y21" s="426" t="s">
        <v>48</v>
      </c>
      <c r="Z21" s="427"/>
      <c r="AA21" s="428" t="s">
        <v>67</v>
      </c>
      <c r="AB21" s="429"/>
      <c r="AC21" s="430"/>
      <c r="AD21" s="427"/>
      <c r="AE21" s="431" t="s">
        <v>66</v>
      </c>
      <c r="AF21" s="427"/>
      <c r="AG21" s="432" t="s">
        <v>46</v>
      </c>
      <c r="AH21" s="433" t="s">
        <v>46</v>
      </c>
      <c r="AI21" s="237"/>
      <c r="AJ21" s="237"/>
    </row>
    <row r="22" spans="2:36" ht="13.5" thickBot="1" x14ac:dyDescent="0.25">
      <c r="B22" s="771"/>
      <c r="C22" s="774"/>
      <c r="D22" s="774"/>
      <c r="E22" s="774"/>
      <c r="F22" s="775"/>
      <c r="P22" s="358"/>
      <c r="Q22" s="357"/>
      <c r="R22" s="391"/>
      <c r="S22" s="550" t="s">
        <v>15</v>
      </c>
      <c r="T22" s="391"/>
      <c r="U22" s="392"/>
      <c r="V22" s="391"/>
      <c r="W22" s="393" t="s">
        <v>177</v>
      </c>
      <c r="X22" s="357"/>
      <c r="Y22" s="426" t="s">
        <v>49</v>
      </c>
      <c r="Z22" s="434" t="s">
        <v>41</v>
      </c>
      <c r="AA22" s="434" t="s">
        <v>42</v>
      </c>
      <c r="AB22" s="435" t="s">
        <v>43</v>
      </c>
      <c r="AC22" s="436" t="s">
        <v>41</v>
      </c>
      <c r="AD22" s="437" t="s">
        <v>42</v>
      </c>
      <c r="AE22" s="438" t="s">
        <v>44</v>
      </c>
      <c r="AF22" s="439" t="s">
        <v>45</v>
      </c>
      <c r="AG22" s="440" t="s">
        <v>68</v>
      </c>
      <c r="AH22" s="441" t="s">
        <v>69</v>
      </c>
      <c r="AI22" s="237"/>
      <c r="AJ22" s="237"/>
    </row>
    <row r="23" spans="2:36" ht="13.5" thickTop="1" x14ac:dyDescent="0.2">
      <c r="B23" s="34" t="str">
        <f>IF(AND(R52&lt;&gt;"OK",R48&lt;&gt;"OK"),"Enter Fuel on Board","")</f>
        <v/>
      </c>
      <c r="C23" s="776" t="str">
        <f>IF(R53&lt;&gt;"OK","Fuel &lt;1-HR Reserve","")</f>
        <v/>
      </c>
      <c r="D23" s="776"/>
      <c r="E23" s="776"/>
      <c r="F23" s="777"/>
      <c r="I23" s="10" t="s">
        <v>64</v>
      </c>
      <c r="P23" s="358"/>
      <c r="Q23" s="401"/>
      <c r="R23" s="391"/>
      <c r="S23" s="550" t="s">
        <v>23</v>
      </c>
      <c r="T23" s="391"/>
      <c r="U23" s="392"/>
      <c r="V23" s="391"/>
      <c r="W23" s="393" t="s">
        <v>177</v>
      </c>
      <c r="X23" s="357"/>
      <c r="Y23" s="426" t="s">
        <v>50</v>
      </c>
      <c r="Z23" s="442">
        <f>Z15</f>
        <v>1800</v>
      </c>
      <c r="AA23" s="443">
        <f>Z12</f>
        <v>2250</v>
      </c>
      <c r="AB23" s="444">
        <f>+AA23-Z23</f>
        <v>450</v>
      </c>
      <c r="AC23" s="445">
        <f>AE16</f>
        <v>33</v>
      </c>
      <c r="AD23" s="446">
        <f>AE12</f>
        <v>33</v>
      </c>
      <c r="AE23" s="447">
        <f>AD23-AC23</f>
        <v>0</v>
      </c>
      <c r="AF23" s="448">
        <f>IF(OR(AB23=0,AE23=0),0,ROUND(AE23/AB23,5))</f>
        <v>0</v>
      </c>
      <c r="AG23" s="449">
        <f ca="1">IF(AND(AA20&gt;=Z23,AA20&lt;AA23),AC23+((AA20-Z23)*AF23),AC23)</f>
        <v>33</v>
      </c>
      <c r="AH23" s="450">
        <f>AD26</f>
        <v>46</v>
      </c>
      <c r="AI23" s="237"/>
      <c r="AJ23" s="237"/>
    </row>
    <row r="24" spans="2:36" ht="12.75" customHeight="1" x14ac:dyDescent="0.2">
      <c r="B24" s="77" t="str">
        <f>IF(AND(R52&lt;&gt;"OK",R49&lt;&gt;"OK"),"Enter GPH Usage","")</f>
        <v/>
      </c>
      <c r="C24" s="778" t="str">
        <f>IF(OR(R18&lt;&gt;"OK",R51&lt;&gt;"OK"),"Fueling Error","")</f>
        <v/>
      </c>
      <c r="D24" s="778"/>
      <c r="E24" s="778"/>
      <c r="F24" s="779"/>
      <c r="I24" s="9" t="s">
        <v>62</v>
      </c>
      <c r="P24" s="358"/>
      <c r="Q24" s="401"/>
      <c r="R24" s="401"/>
      <c r="S24" s="401"/>
      <c r="T24" s="401"/>
      <c r="U24" s="401"/>
      <c r="V24" s="401"/>
      <c r="W24" s="401"/>
      <c r="X24" s="357"/>
      <c r="Y24" s="426" t="s">
        <v>51</v>
      </c>
      <c r="Z24" s="451">
        <f>AA23</f>
        <v>2250</v>
      </c>
      <c r="AA24" s="452">
        <f>Z10</f>
        <v>2700</v>
      </c>
      <c r="AB24" s="453">
        <f>+AA24-Z24</f>
        <v>450</v>
      </c>
      <c r="AC24" s="454">
        <f>IF(AD24=AD23,AC23,AD23)</f>
        <v>33</v>
      </c>
      <c r="AD24" s="455">
        <f>AE10</f>
        <v>35.5</v>
      </c>
      <c r="AE24" s="447">
        <f>AD24-AC24</f>
        <v>2.5</v>
      </c>
      <c r="AF24" s="448">
        <f>IF(OR(AB24=0,AE24=0),0,ROUND(AE24/AB24,5))</f>
        <v>5.5599999999999998E-3</v>
      </c>
      <c r="AG24" s="449">
        <f ca="1">IF(AND(AA20&gt;=Z24,AA20&lt;AA24),AC24+((AA20-Z24)*AF24),AC24)</f>
        <v>33.922960000000003</v>
      </c>
      <c r="AH24" s="213">
        <f>AH23</f>
        <v>46</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358"/>
      <c r="Q25" s="370" t="s">
        <v>159</v>
      </c>
      <c r="R25" s="371"/>
      <c r="S25" s="371"/>
      <c r="T25" s="371"/>
      <c r="U25" s="372" t="s">
        <v>2</v>
      </c>
      <c r="V25" s="372" t="s">
        <v>1</v>
      </c>
      <c r="W25" s="373" t="s">
        <v>179</v>
      </c>
      <c r="X25" s="357"/>
      <c r="Y25" s="426" t="s">
        <v>52</v>
      </c>
      <c r="Z25" s="451">
        <f>AA24</f>
        <v>2700</v>
      </c>
      <c r="AA25" s="452">
        <f>AA8</f>
        <v>3100</v>
      </c>
      <c r="AB25" s="453">
        <f>+AA25-Z25</f>
        <v>400</v>
      </c>
      <c r="AC25" s="454">
        <f>IF(AD25=AD24,AC24,AD24)</f>
        <v>35.5</v>
      </c>
      <c r="AD25" s="455">
        <f>AF8</f>
        <v>40.9</v>
      </c>
      <c r="AE25" s="447">
        <f>AD25-AC25</f>
        <v>5.3999999999999986</v>
      </c>
      <c r="AF25" s="448">
        <f>IF(OR(AB25=0,AE25=0),0,ROUND(AE25/AB25,5))</f>
        <v>1.35E-2</v>
      </c>
      <c r="AG25" s="449">
        <f ca="1">IF(AND(AA20&gt;=Z25,AA20&lt;AA25),AC25+((AA20-Z25)*AF25),AC25)</f>
        <v>35.5</v>
      </c>
      <c r="AH25" s="213">
        <f>AH24</f>
        <v>46</v>
      </c>
      <c r="AI25" s="237"/>
      <c r="AJ25" s="237"/>
    </row>
    <row r="26" spans="2:36" ht="13.5" thickTop="1" x14ac:dyDescent="0.2">
      <c r="I26" s="8" t="str">
        <f>"R Front:  "&amp;IF(E7=0,"---",E7&amp;"#")</f>
        <v>R Front:  ---</v>
      </c>
      <c r="P26" s="358"/>
      <c r="Q26" s="375" t="str">
        <f t="shared" si="1"/>
        <v>Ln26</v>
      </c>
      <c r="R26" s="391"/>
      <c r="S26" s="456" t="s">
        <v>11</v>
      </c>
      <c r="T26" s="378"/>
      <c r="U26" s="380">
        <v>37</v>
      </c>
      <c r="V26" s="412">
        <f>C7+E7</f>
        <v>0</v>
      </c>
      <c r="W26" s="457"/>
      <c r="X26" s="357"/>
      <c r="Y26" s="458" t="s">
        <v>52</v>
      </c>
      <c r="Z26" s="459">
        <f>AA25</f>
        <v>3100</v>
      </c>
      <c r="AA26" s="460">
        <f>AC8</f>
        <v>3100</v>
      </c>
      <c r="AB26" s="461">
        <f>+AA26-Z26</f>
        <v>0</v>
      </c>
      <c r="AC26" s="462">
        <f>IF(AD26=AD25,AC25,AD25)</f>
        <v>40.9</v>
      </c>
      <c r="AD26" s="463">
        <f>AH8</f>
        <v>46</v>
      </c>
      <c r="AE26" s="464">
        <f>AD26-AC26</f>
        <v>5.1000000000000014</v>
      </c>
      <c r="AF26" s="465">
        <f>IF(OR(AB26=0,AE26=0),0,ROUND(AE26/AB26,5))</f>
        <v>0</v>
      </c>
      <c r="AG26" s="466">
        <f ca="1">IF(AND(AA20&gt;=Z26,AA20&lt;AA26),AC26+((AA20-Z26)*AF26),AC26)</f>
        <v>40.9</v>
      </c>
      <c r="AH26" s="217">
        <f>AH25</f>
        <v>46</v>
      </c>
      <c r="AI26" s="237"/>
      <c r="AJ26" s="237"/>
    </row>
    <row r="27" spans="2:36" ht="12.75" customHeight="1" x14ac:dyDescent="0.2">
      <c r="B27" s="60" t="s">
        <v>79</v>
      </c>
      <c r="H27" s="1"/>
      <c r="I27" s="8" t="str">
        <f>"L  Rear:  "&amp;IF(C9=0,"---",C9&amp;"#")</f>
        <v>L  Rear:  ---</v>
      </c>
      <c r="P27" s="358"/>
      <c r="Q27" s="375" t="str">
        <f t="shared" si="1"/>
        <v>Ln27</v>
      </c>
      <c r="R27" s="391"/>
      <c r="S27" s="456" t="s">
        <v>12</v>
      </c>
      <c r="T27" s="378"/>
      <c r="U27" s="380">
        <v>74</v>
      </c>
      <c r="V27" s="412">
        <f>C9+E9</f>
        <v>0</v>
      </c>
      <c r="W27" s="457"/>
      <c r="X27" s="357"/>
      <c r="Y27" s="357"/>
      <c r="Z27" s="357"/>
      <c r="AA27" s="357"/>
      <c r="AB27" s="357"/>
      <c r="AC27" s="357"/>
      <c r="AD27" s="357"/>
      <c r="AE27" s="357"/>
      <c r="AF27" s="357"/>
      <c r="AG27" s="357"/>
      <c r="AH27" s="357"/>
      <c r="AI27" s="237"/>
      <c r="AJ27" s="237"/>
    </row>
    <row r="28" spans="2:36" ht="13.5" thickBot="1" x14ac:dyDescent="0.25">
      <c r="B28" s="22" t="s">
        <v>127</v>
      </c>
      <c r="D28" s="782">
        <f>U37+(J15*-1)</f>
        <v>1068</v>
      </c>
      <c r="E28" s="783"/>
      <c r="F28" s="784" t="str">
        <f>"( "&amp;TEXT(U37,"#,##0")&amp;"+"&amp;J15*-1&amp;" )"</f>
        <v>( 1,058+10 )</v>
      </c>
      <c r="G28" s="785"/>
      <c r="H28" s="785"/>
      <c r="I28" s="8" t="str">
        <f>"R  Rear:  "&amp;IF(E9=0,"---",E9&amp;"#")</f>
        <v>R  Rear:  ---</v>
      </c>
      <c r="P28" s="358"/>
      <c r="Q28" s="357"/>
      <c r="R28" s="357"/>
      <c r="S28" s="357"/>
      <c r="T28" s="357"/>
      <c r="U28" s="413"/>
      <c r="V28" s="413"/>
      <c r="W28" s="357"/>
      <c r="X28" s="357"/>
      <c r="Y28" s="357"/>
      <c r="Z28" s="357"/>
      <c r="AA28" s="357"/>
      <c r="AB28" s="357"/>
      <c r="AC28" s="357"/>
      <c r="AD28" s="357"/>
      <c r="AE28" s="357"/>
      <c r="AF28" s="357"/>
      <c r="AG28" s="357"/>
      <c r="AH28" s="357"/>
      <c r="AI28" s="237"/>
      <c r="AJ28" s="237"/>
    </row>
    <row r="29" spans="2:36" ht="13.5" thickBot="1" x14ac:dyDescent="0.25">
      <c r="B29" s="22" t="s">
        <v>126</v>
      </c>
      <c r="D29" s="786">
        <f>SUM(J8:J13)</f>
        <v>384</v>
      </c>
      <c r="E29" s="787"/>
      <c r="I29" s="8" t="str">
        <f>"Bag 1:  "&amp;IF(C11=0,"---",C11&amp;"#")</f>
        <v>Bag 1:  ---</v>
      </c>
      <c r="P29" s="358"/>
      <c r="Q29" s="375" t="str">
        <f t="shared" si="1"/>
        <v>Ln29</v>
      </c>
      <c r="R29" s="467" t="str">
        <f>IF(C11&gt;V29,"ERR","OK")</f>
        <v>OK</v>
      </c>
      <c r="S29" s="456" t="s">
        <v>25</v>
      </c>
      <c r="T29" s="512">
        <f>C11</f>
        <v>0</v>
      </c>
      <c r="U29" s="380">
        <v>97</v>
      </c>
      <c r="V29" s="468">
        <v>120</v>
      </c>
      <c r="W29" s="393" t="s">
        <v>176</v>
      </c>
      <c r="X29" s="357"/>
      <c r="Y29" s="357"/>
      <c r="Z29" s="357"/>
      <c r="AA29" s="357"/>
      <c r="AB29" s="357"/>
      <c r="AC29" s="357"/>
      <c r="AD29" s="357"/>
      <c r="AE29" s="357"/>
      <c r="AF29" s="357"/>
      <c r="AG29" s="357"/>
      <c r="AH29" s="357"/>
      <c r="AI29" s="237"/>
      <c r="AJ29" s="237"/>
    </row>
    <row r="30" spans="2:36" ht="15.75" x14ac:dyDescent="0.3">
      <c r="B30" s="22" t="str">
        <f>IF(D29&lt;=D28,"Lbs before overweight","OVERWEIGHT")</f>
        <v>Lbs before overweight</v>
      </c>
      <c r="D30" s="788">
        <f>ABS(D28-D29)</f>
        <v>684</v>
      </c>
      <c r="E30" s="789"/>
      <c r="F30" s="790" t="str">
        <f>IF(D29&gt;D28,"# Over","")</f>
        <v/>
      </c>
      <c r="G30" s="791"/>
      <c r="H30" s="791"/>
      <c r="I30" s="8" t="str">
        <f>"Bag 2:  "&amp;IF(C12=0,"---",C12&amp;"#")</f>
        <v>Bag 2:  ---</v>
      </c>
      <c r="P30" s="358"/>
      <c r="Q30" s="375" t="str">
        <f t="shared" si="1"/>
        <v>Ln30</v>
      </c>
      <c r="R30" s="467" t="str">
        <f>IF(C12&gt;V30,"ERR","OK")</f>
        <v>OK</v>
      </c>
      <c r="S30" s="456" t="s">
        <v>26</v>
      </c>
      <c r="T30" s="512">
        <f>C12</f>
        <v>0</v>
      </c>
      <c r="U30" s="380">
        <v>116</v>
      </c>
      <c r="V30" s="468">
        <v>80</v>
      </c>
      <c r="W30" s="393" t="s">
        <v>176</v>
      </c>
      <c r="X30" s="357"/>
      <c r="Y30" s="357"/>
      <c r="Z30" s="472"/>
      <c r="AA30" s="473"/>
      <c r="AB30" s="474" t="s">
        <v>165</v>
      </c>
      <c r="AC30" s="371"/>
      <c r="AD30" s="371"/>
      <c r="AE30" s="371"/>
      <c r="AF30" s="371"/>
      <c r="AG30" s="371"/>
      <c r="AH30" s="357"/>
      <c r="AI30" s="237"/>
      <c r="AJ30" s="237"/>
    </row>
    <row r="31" spans="2:36" ht="15.75" thickBot="1" x14ac:dyDescent="0.3">
      <c r="P31" s="358"/>
      <c r="Q31" s="375" t="str">
        <f t="shared" si="1"/>
        <v>Ln31</v>
      </c>
      <c r="R31" s="511" t="str">
        <f>IF(D13&gt;V31,"ERR","OK")</f>
        <v>OK</v>
      </c>
      <c r="S31" s="509" t="s">
        <v>28</v>
      </c>
      <c r="T31" s="512">
        <f>D13</f>
        <v>0</v>
      </c>
      <c r="U31" s="380">
        <v>129</v>
      </c>
      <c r="V31" s="468">
        <v>80</v>
      </c>
      <c r="W31" s="393" t="s">
        <v>176</v>
      </c>
      <c r="X31" s="357"/>
      <c r="Y31" s="357"/>
      <c r="Z31" s="357"/>
      <c r="AA31" s="357"/>
      <c r="AB31" s="357"/>
      <c r="AC31" s="382" t="s">
        <v>162</v>
      </c>
      <c r="AD31" s="357"/>
      <c r="AE31" s="357"/>
      <c r="AF31" s="357"/>
      <c r="AG31" s="473"/>
      <c r="AH31" s="357"/>
      <c r="AI31" s="237"/>
      <c r="AJ31" s="237"/>
    </row>
    <row r="32" spans="2:36" ht="13.5" thickTop="1" x14ac:dyDescent="0.2">
      <c r="I32" s="8"/>
      <c r="P32" s="358"/>
      <c r="Q32" s="375" t="str">
        <f t="shared" si="1"/>
        <v>Ln32</v>
      </c>
      <c r="R32" s="511" t="str">
        <f>IF(C11+C12+D13&gt;V32,"ERR","OK")</f>
        <v>OK</v>
      </c>
      <c r="S32" s="510" t="s">
        <v>29</v>
      </c>
      <c r="T32" s="512">
        <f>SUM(C11,C12,D13)</f>
        <v>0</v>
      </c>
      <c r="U32" s="471"/>
      <c r="V32" s="468">
        <v>200</v>
      </c>
      <c r="W32" s="357"/>
      <c r="X32" s="357"/>
      <c r="Y32" s="476"/>
      <c r="Z32" s="477"/>
      <c r="AA32" s="478">
        <v>2950</v>
      </c>
      <c r="AC32" s="403">
        <f>AA32</f>
        <v>2950</v>
      </c>
      <c r="AD32" s="357"/>
      <c r="AF32" s="479">
        <v>39</v>
      </c>
      <c r="AH32" s="390">
        <v>46</v>
      </c>
      <c r="AI32" s="237"/>
      <c r="AJ32" s="237"/>
    </row>
    <row r="33" spans="8:36" x14ac:dyDescent="0.2">
      <c r="I33" s="9" t="s">
        <v>63</v>
      </c>
      <c r="P33" s="358"/>
      <c r="Q33" s="375" t="str">
        <f t="shared" si="1"/>
        <v>Ln33</v>
      </c>
      <c r="R33" s="511" t="str">
        <f>IF(C11+C12&gt;V33,"ERR","OK")</f>
        <v>OK</v>
      </c>
      <c r="S33" s="470" t="s">
        <v>30</v>
      </c>
      <c r="T33" s="512"/>
      <c r="U33" s="471"/>
      <c r="V33" s="468">
        <v>200</v>
      </c>
      <c r="W33" s="357"/>
      <c r="X33" s="357"/>
      <c r="Y33" s="480"/>
      <c r="Z33" s="82"/>
      <c r="AD33" s="357"/>
      <c r="AI33" s="237"/>
      <c r="AJ33" s="237"/>
    </row>
    <row r="34" spans="8:36" ht="13.5" x14ac:dyDescent="0.25">
      <c r="I34" s="10" t="str">
        <f>"Start:  "&amp;TEXT(D15,("###.0"))&amp;" USG"</f>
        <v>Start:  64.0 USG</v>
      </c>
      <c r="P34" s="358"/>
      <c r="Q34" s="375" t="str">
        <f t="shared" si="1"/>
        <v>Ln34</v>
      </c>
      <c r="R34" s="511" t="str">
        <f>IF(C12+D13&gt;V34,"ERR","OK")</f>
        <v>OK</v>
      </c>
      <c r="S34" s="510" t="s">
        <v>71</v>
      </c>
      <c r="T34" s="512"/>
      <c r="U34" s="471"/>
      <c r="V34" s="468">
        <v>80</v>
      </c>
      <c r="W34" s="357"/>
      <c r="X34" s="357"/>
      <c r="Y34" s="481" t="s">
        <v>155</v>
      </c>
      <c r="Z34" s="478">
        <v>2700</v>
      </c>
      <c r="AD34" s="357"/>
      <c r="AE34" s="483">
        <v>35.700000000000003</v>
      </c>
      <c r="AI34" s="237"/>
      <c r="AJ34" s="237"/>
    </row>
    <row r="35" spans="8:36" ht="13.5" x14ac:dyDescent="0.25">
      <c r="I35" s="10" t="str">
        <f>"Used:    "&amp;TEXT(D18,("###.0"))&amp;" USG"</f>
        <v>Used:    .0 USG</v>
      </c>
      <c r="P35" s="358"/>
      <c r="Q35" s="357"/>
      <c r="R35" s="357"/>
      <c r="S35" s="357"/>
      <c r="T35" s="357"/>
      <c r="U35" s="357"/>
      <c r="V35" s="357"/>
      <c r="W35" s="357"/>
      <c r="X35" s="357"/>
      <c r="Y35" s="481" t="s">
        <v>50</v>
      </c>
      <c r="Z35" s="82"/>
      <c r="AA35" s="766" t="s">
        <v>1</v>
      </c>
      <c r="AB35" s="766"/>
      <c r="AD35" s="357"/>
      <c r="AF35" s="766" t="s">
        <v>154</v>
      </c>
      <c r="AG35" s="766"/>
      <c r="AI35" s="237"/>
      <c r="AJ35" s="237"/>
    </row>
    <row r="36" spans="8:36" ht="13.5" x14ac:dyDescent="0.25">
      <c r="I36" s="10" t="str">
        <f>"Reserve:  "&amp;TEXT(D15-D18,"###.0")&amp;" USG"</f>
        <v>Reserve:  64.0 USG</v>
      </c>
      <c r="P36" s="358"/>
      <c r="Q36" s="370" t="s">
        <v>160</v>
      </c>
      <c r="R36" s="371"/>
      <c r="S36" s="371"/>
      <c r="T36" s="371"/>
      <c r="U36" s="482" t="s">
        <v>1</v>
      </c>
      <c r="V36" s="357"/>
      <c r="W36" s="357"/>
      <c r="X36" s="357"/>
      <c r="Y36" s="481" t="s">
        <v>56</v>
      </c>
      <c r="Z36" s="478">
        <v>2250</v>
      </c>
      <c r="AA36" s="766" t="s">
        <v>153</v>
      </c>
      <c r="AB36" s="766"/>
      <c r="AD36" s="357"/>
      <c r="AE36" s="628">
        <f>AE40</f>
        <v>33</v>
      </c>
      <c r="AF36" s="766" t="s">
        <v>153</v>
      </c>
      <c r="AG36" s="766"/>
      <c r="AI36" s="237"/>
      <c r="AJ36" s="237"/>
    </row>
    <row r="37" spans="8:36" ht="13.5" x14ac:dyDescent="0.25">
      <c r="P37" s="358"/>
      <c r="Q37" s="375" t="str">
        <f t="shared" ref="Q37:Q39" si="2">"Ln"&amp;ROW()</f>
        <v>Ln37</v>
      </c>
      <c r="R37" s="484"/>
      <c r="S37" s="400" t="s">
        <v>77</v>
      </c>
      <c r="T37" s="485"/>
      <c r="U37" s="486">
        <f>ROUNDDOWN(U8-U7,0)</f>
        <v>1058</v>
      </c>
      <c r="V37" s="357"/>
      <c r="W37" s="357"/>
      <c r="X37" s="357"/>
      <c r="Y37" s="481" t="s">
        <v>57</v>
      </c>
      <c r="Z37" s="82"/>
      <c r="AC37" s="767" t="s">
        <v>157</v>
      </c>
      <c r="AD37" s="357"/>
      <c r="AH37" s="767" t="s">
        <v>157</v>
      </c>
      <c r="AI37" s="237"/>
      <c r="AJ37" s="237"/>
    </row>
    <row r="38" spans="8:36" ht="13.5" x14ac:dyDescent="0.25">
      <c r="I38" s="9" t="s">
        <v>72</v>
      </c>
      <c r="P38" s="358"/>
      <c r="Q38" s="375" t="str">
        <f t="shared" si="2"/>
        <v>Ln38</v>
      </c>
      <c r="R38" s="484"/>
      <c r="S38" s="400" t="s">
        <v>76</v>
      </c>
      <c r="T38" s="485"/>
      <c r="U38" s="486">
        <f>IF(T19=0,"",U37-V19)</f>
        <v>674</v>
      </c>
      <c r="V38" s="357"/>
      <c r="W38" s="357"/>
      <c r="X38" s="357"/>
      <c r="Y38" s="481" t="s">
        <v>156</v>
      </c>
      <c r="Z38" s="82"/>
      <c r="AC38" s="767"/>
      <c r="AD38" s="357"/>
      <c r="AH38" s="767"/>
      <c r="AI38" s="237"/>
      <c r="AJ38" s="237"/>
    </row>
    <row r="39" spans="8:36" ht="13.5" x14ac:dyDescent="0.25">
      <c r="H39" s="7"/>
      <c r="I39" s="63" t="str">
        <f>IF(T42="","","Max Flight (NO Res)")</f>
        <v/>
      </c>
      <c r="P39" s="358"/>
      <c r="Q39" s="375" t="str">
        <f t="shared" si="2"/>
        <v>Ln39</v>
      </c>
      <c r="R39" s="484"/>
      <c r="S39" s="400" t="s">
        <v>78</v>
      </c>
      <c r="T39" s="487"/>
      <c r="U39" s="486">
        <f>U37-V18</f>
        <v>536</v>
      </c>
      <c r="V39" s="357"/>
      <c r="W39" s="357"/>
      <c r="X39" s="357"/>
      <c r="Y39" s="481" t="s">
        <v>47</v>
      </c>
      <c r="Z39" s="82"/>
      <c r="AC39" s="768"/>
      <c r="AD39" s="357"/>
      <c r="AH39" s="768"/>
      <c r="AI39" s="237"/>
      <c r="AJ39" s="237"/>
    </row>
    <row r="40" spans="8:36" x14ac:dyDescent="0.2">
      <c r="H40" s="7"/>
      <c r="I40" s="21" t="str">
        <f>IF(T42="","","~"&amp;TEXT(T42,("##.0"))&amp;" hrs")</f>
        <v/>
      </c>
      <c r="P40" s="358"/>
      <c r="Q40" s="357"/>
      <c r="R40" s="357"/>
      <c r="S40" s="357"/>
      <c r="T40" s="413"/>
      <c r="U40" s="413"/>
      <c r="V40" s="357"/>
      <c r="W40" s="357"/>
      <c r="X40" s="357"/>
      <c r="Y40" s="480"/>
      <c r="Z40" s="478">
        <v>1800</v>
      </c>
      <c r="AC40" s="403">
        <f>AC32</f>
        <v>2950</v>
      </c>
      <c r="AD40" s="357"/>
      <c r="AE40" s="489">
        <v>33</v>
      </c>
      <c r="AF40" s="82"/>
      <c r="AG40" s="82"/>
      <c r="AH40" s="490">
        <f>AH32</f>
        <v>46</v>
      </c>
      <c r="AI40" s="242"/>
      <c r="AJ40" s="242"/>
    </row>
    <row r="41" spans="8:36" ht="14.25" thickBot="1" x14ac:dyDescent="0.3">
      <c r="I41" s="61" t="str">
        <f>IF(T42="","","@ "&amp;TEXT(D16,"##.0")&amp;" GPH")</f>
        <v/>
      </c>
      <c r="P41" s="358"/>
      <c r="Q41" s="370" t="s">
        <v>119</v>
      </c>
      <c r="R41" s="371"/>
      <c r="S41" s="482"/>
      <c r="T41" s="488" t="s">
        <v>121</v>
      </c>
      <c r="U41" s="413"/>
      <c r="V41" s="357"/>
      <c r="W41" s="357"/>
      <c r="X41" s="357"/>
      <c r="Y41" s="494"/>
      <c r="Z41" s="495"/>
      <c r="AD41" s="357"/>
      <c r="AE41" s="496"/>
      <c r="AF41" s="769" t="s">
        <v>161</v>
      </c>
      <c r="AG41" s="769"/>
      <c r="AH41" s="497"/>
      <c r="AI41" s="237"/>
      <c r="AJ41" s="237"/>
    </row>
    <row r="42" spans="8:36" ht="13.5" thickTop="1" x14ac:dyDescent="0.2">
      <c r="I42" s="65" t="str">
        <f>IF(R52&lt;&gt;"OK","","  At end of ")</f>
        <v/>
      </c>
      <c r="P42" s="358"/>
      <c r="Q42" s="375" t="str">
        <f t="shared" ref="Q42:Q43" si="3">"Ln"&amp;ROW()</f>
        <v>Ln42</v>
      </c>
      <c r="R42" s="491" t="s">
        <v>91</v>
      </c>
      <c r="S42" s="492"/>
      <c r="T42" s="493" t="str">
        <f>IF(AND(D15&gt;0,D18&gt;0),ROUND(D15/D16,3),"")</f>
        <v/>
      </c>
      <c r="U42" s="413"/>
      <c r="V42" s="357"/>
      <c r="W42" s="357"/>
      <c r="X42" s="357"/>
      <c r="Y42" s="357"/>
      <c r="Z42" s="357"/>
      <c r="AA42" s="357"/>
      <c r="AB42" s="357"/>
      <c r="AC42" s="357"/>
      <c r="AD42" s="357"/>
      <c r="AE42" s="357"/>
      <c r="AF42" s="357"/>
      <c r="AG42" s="357"/>
      <c r="AH42" s="357"/>
      <c r="AI42" s="237"/>
      <c r="AJ42" s="237"/>
    </row>
    <row r="43" spans="8:36" ht="13.5" thickBot="1" x14ac:dyDescent="0.25">
      <c r="I43" s="66" t="str">
        <f>IF(R52&lt;&gt;"OK","",TEXT(D17,"##.0")&amp;" Hr Trip . . ")</f>
        <v/>
      </c>
      <c r="P43" s="358"/>
      <c r="Q43" s="375" t="str">
        <f t="shared" si="3"/>
        <v>Ln43</v>
      </c>
      <c r="R43" s="491" t="s">
        <v>95</v>
      </c>
      <c r="S43" s="492"/>
      <c r="T43" s="493" t="str">
        <f>IF(AND(D15&gt;0,D16&gt;0,D18&gt;0),ROUND((D15-D18)/D16,3),"")</f>
        <v/>
      </c>
      <c r="U43" s="413"/>
      <c r="V43" s="357"/>
      <c r="W43" s="357"/>
      <c r="X43" s="357"/>
      <c r="Y43" s="357"/>
      <c r="Z43" s="357"/>
      <c r="AA43" s="498" t="str">
        <f ca="1">IF(U8=U10,"OK",IF(AA44&gt;U10,"OUT","OK"))</f>
        <v>OK</v>
      </c>
      <c r="AB43" s="415" t="s">
        <v>164</v>
      </c>
      <c r="AC43" s="357"/>
      <c r="AD43" s="357"/>
      <c r="AE43" s="498" t="str">
        <f ca="1">IF(U8=U10,"OK",IF(AND(AE44&gt;=AG44,AE44&lt;=AH44),"OK","OUT"))</f>
        <v>OK</v>
      </c>
      <c r="AF43" s="357"/>
      <c r="AG43" s="357"/>
      <c r="AH43" s="357"/>
      <c r="AI43" s="237"/>
      <c r="AJ43" s="237"/>
    </row>
    <row r="44" spans="8:36" ht="14.25" thickTop="1" thickBot="1" x14ac:dyDescent="0.25">
      <c r="I44" s="62" t="str">
        <f>IF(R52&lt;&gt;"OK","","Reserve is ~ "&amp;TEXT(T43,"##.0")&amp;" Hrs")</f>
        <v/>
      </c>
      <c r="P44" s="358"/>
      <c r="Q44" s="357"/>
      <c r="R44" s="357"/>
      <c r="S44" s="357"/>
      <c r="T44" s="357"/>
      <c r="U44" s="357"/>
      <c r="V44" s="357"/>
      <c r="W44" s="357"/>
      <c r="X44" s="357"/>
      <c r="Y44" s="416" t="s">
        <v>53</v>
      </c>
      <c r="Z44" s="417" t="s">
        <v>1</v>
      </c>
      <c r="AA44" s="499">
        <f ca="1">J19</f>
        <v>2416</v>
      </c>
      <c r="AB44" s="419"/>
      <c r="AC44" s="420"/>
      <c r="AD44" s="500" t="s">
        <v>40</v>
      </c>
      <c r="AE44" s="499">
        <f ca="1">K20</f>
        <v>40.583609271523187</v>
      </c>
      <c r="AF44" s="423" t="s">
        <v>61</v>
      </c>
      <c r="AG44" s="501">
        <f ca="1">VLOOKUP(AA44,Z47:AH50,8)</f>
        <v>33.996000000000002</v>
      </c>
      <c r="AH44" s="502">
        <f ca="1">VLOOKUP(AA44,Z47:AH50,9)</f>
        <v>46</v>
      </c>
      <c r="AI44" s="237"/>
      <c r="AJ44" s="237"/>
    </row>
    <row r="45" spans="8:36" ht="13.5" thickTop="1" x14ac:dyDescent="0.2">
      <c r="I45" s="64" t="str">
        <f>IF(R52&lt;&gt;"OK","",IF(R53&lt;&gt;"OK","Caution: &lt; 1 HR",""))</f>
        <v/>
      </c>
      <c r="P45" s="358"/>
      <c r="Q45" s="370" t="s">
        <v>175</v>
      </c>
      <c r="R45" s="371"/>
      <c r="S45" s="482"/>
      <c r="T45" s="482"/>
      <c r="U45" s="357"/>
      <c r="V45" s="357"/>
      <c r="W45" s="357"/>
      <c r="X45" s="357"/>
      <c r="Y45" s="426" t="s">
        <v>48</v>
      </c>
      <c r="Z45" s="427"/>
      <c r="AA45" s="428" t="s">
        <v>67</v>
      </c>
      <c r="AB45" s="429"/>
      <c r="AC45" s="430"/>
      <c r="AD45" s="427"/>
      <c r="AE45" s="431" t="s">
        <v>66</v>
      </c>
      <c r="AF45" s="427"/>
      <c r="AG45" s="432" t="s">
        <v>46</v>
      </c>
      <c r="AH45" s="433" t="s">
        <v>46</v>
      </c>
      <c r="AI45" s="237"/>
      <c r="AJ45" s="237"/>
    </row>
    <row r="46" spans="8:36" ht="13.5" thickBot="1" x14ac:dyDescent="0.25">
      <c r="P46" s="358"/>
      <c r="Q46" s="375" t="str">
        <f t="shared" ref="Q46:Q53" si="4">"Ln"&amp;ROW()</f>
        <v>Ln46</v>
      </c>
      <c r="R46" s="503" t="str">
        <f>IF(AND(C7="",(E7+C9+E9)&gt;0),"WARN","OK")</f>
        <v>OK</v>
      </c>
      <c r="S46" s="504" t="s">
        <v>89</v>
      </c>
      <c r="T46" s="505"/>
      <c r="U46" s="357"/>
      <c r="V46" s="357"/>
      <c r="W46" s="357"/>
      <c r="X46" s="357"/>
      <c r="Y46" s="426" t="s">
        <v>54</v>
      </c>
      <c r="Z46" s="434" t="s">
        <v>41</v>
      </c>
      <c r="AA46" s="434" t="s">
        <v>42</v>
      </c>
      <c r="AB46" s="435" t="s">
        <v>43</v>
      </c>
      <c r="AC46" s="436" t="s">
        <v>41</v>
      </c>
      <c r="AD46" s="437" t="s">
        <v>42</v>
      </c>
      <c r="AE46" s="438" t="s">
        <v>44</v>
      </c>
      <c r="AF46" s="439" t="s">
        <v>45</v>
      </c>
      <c r="AG46" s="440" t="s">
        <v>68</v>
      </c>
      <c r="AH46" s="441" t="s">
        <v>69</v>
      </c>
      <c r="AI46" s="237"/>
      <c r="AJ46" s="237"/>
    </row>
    <row r="47" spans="8:36" ht="13.5" thickTop="1" x14ac:dyDescent="0.2">
      <c r="P47" s="358"/>
      <c r="Q47" s="375" t="str">
        <f t="shared" si="4"/>
        <v>Ln47</v>
      </c>
      <c r="R47" s="503" t="str">
        <f>IF(C7+E7+C9+E9&gt;0,"INFO","OK")</f>
        <v>OK</v>
      </c>
      <c r="S47" s="504" t="s">
        <v>92</v>
      </c>
      <c r="T47" s="505"/>
      <c r="U47" s="357"/>
      <c r="V47" s="357"/>
      <c r="W47" s="357"/>
      <c r="X47" s="357"/>
      <c r="Y47" s="426" t="s">
        <v>55</v>
      </c>
      <c r="Z47" s="442">
        <f>Z40</f>
        <v>1800</v>
      </c>
      <c r="AA47" s="443">
        <f>Z36</f>
        <v>2250</v>
      </c>
      <c r="AB47" s="444">
        <f>+AA47-Z47</f>
        <v>450</v>
      </c>
      <c r="AC47" s="445">
        <f>AE40</f>
        <v>33</v>
      </c>
      <c r="AD47" s="446">
        <f>AE36</f>
        <v>33</v>
      </c>
      <c r="AE47" s="447">
        <f>AD47-AC47</f>
        <v>0</v>
      </c>
      <c r="AF47" s="448">
        <f>IF(OR(AB47=0,AE47=0),0,ROUND(AE47/AB47,5))</f>
        <v>0</v>
      </c>
      <c r="AG47" s="449">
        <f ca="1">IF(AND(AA44&gt;=Z47,AA44&lt;AA47),AC47+((AA44-Z47)*AF47),AC47)</f>
        <v>33</v>
      </c>
      <c r="AH47" s="450">
        <f>AD50</f>
        <v>46</v>
      </c>
      <c r="AI47" s="237"/>
      <c r="AJ47" s="237"/>
    </row>
    <row r="48" spans="8:36" x14ac:dyDescent="0.2">
      <c r="P48" s="358"/>
      <c r="Q48" s="375" t="str">
        <f t="shared" si="4"/>
        <v>Ln48</v>
      </c>
      <c r="R48" s="503" t="str">
        <f>IF(AND(C7&gt;0,D15=0),"WARN","OK")</f>
        <v>OK</v>
      </c>
      <c r="S48" s="506" t="s">
        <v>111</v>
      </c>
      <c r="T48" s="507"/>
      <c r="U48" s="357"/>
      <c r="V48" s="357"/>
      <c r="W48" s="357"/>
      <c r="X48" s="357"/>
      <c r="Y48" s="426" t="s">
        <v>56</v>
      </c>
      <c r="Z48" s="451">
        <f>AA47</f>
        <v>2250</v>
      </c>
      <c r="AA48" s="452">
        <f>Z34</f>
        <v>2700</v>
      </c>
      <c r="AB48" s="453">
        <f>+AA48-Z48</f>
        <v>450</v>
      </c>
      <c r="AC48" s="454">
        <f>IF(AD48=AD47,AC47,AD47)</f>
        <v>33</v>
      </c>
      <c r="AD48" s="455">
        <f>AE34</f>
        <v>35.700000000000003</v>
      </c>
      <c r="AE48" s="447">
        <f>AD48-AC48</f>
        <v>2.7000000000000028</v>
      </c>
      <c r="AF48" s="448">
        <f>IF(OR(AB48=0,AE48=0),0,ROUND(AE48/AB48,5))</f>
        <v>6.0000000000000001E-3</v>
      </c>
      <c r="AG48" s="449">
        <f ca="1">IF(AND(AA44&gt;=Z48,AA44&lt;AA48),AC48+((AA44-Z48)*AF48),AC48)</f>
        <v>33.996000000000002</v>
      </c>
      <c r="AH48" s="213">
        <f>AH47</f>
        <v>46</v>
      </c>
      <c r="AI48" s="237"/>
      <c r="AJ48" s="237"/>
    </row>
    <row r="49" spans="8:36" x14ac:dyDescent="0.2">
      <c r="P49" s="358"/>
      <c r="Q49" s="375" t="str">
        <f t="shared" si="4"/>
        <v>Ln49</v>
      </c>
      <c r="R49" s="503" t="str">
        <f>IF(AND(C7&gt;0,D16=0),"WARN","OK")</f>
        <v>OK</v>
      </c>
      <c r="S49" s="506" t="s">
        <v>113</v>
      </c>
      <c r="T49" s="507"/>
      <c r="U49" s="357"/>
      <c r="V49" s="357"/>
      <c r="W49" s="357"/>
      <c r="X49" s="357"/>
      <c r="Y49" s="426" t="s">
        <v>54</v>
      </c>
      <c r="Z49" s="451">
        <f>AA48</f>
        <v>2700</v>
      </c>
      <c r="AA49" s="452">
        <f>AA32</f>
        <v>2950</v>
      </c>
      <c r="AB49" s="453">
        <f>+AA49-Z49</f>
        <v>250</v>
      </c>
      <c r="AC49" s="454">
        <f>IF(AD49=AD48,AC48,AD48)</f>
        <v>35.700000000000003</v>
      </c>
      <c r="AD49" s="455">
        <f>AF32</f>
        <v>39</v>
      </c>
      <c r="AE49" s="447">
        <f>AD49-AC49</f>
        <v>3.2999999999999972</v>
      </c>
      <c r="AF49" s="448">
        <f>IF(OR(AB49=0,AE49=0),0,ROUND(AE49/AB49,5))</f>
        <v>1.32E-2</v>
      </c>
      <c r="AG49" s="449">
        <f ca="1">IF(AND(AA44&gt;=Z49,AA44&lt;AA49),AC49+((AA44-Z49)*AF49),AC49)</f>
        <v>35.700000000000003</v>
      </c>
      <c r="AH49" s="213">
        <f>AH48</f>
        <v>46</v>
      </c>
      <c r="AI49" s="237"/>
      <c r="AJ49" s="237"/>
    </row>
    <row r="50" spans="8:36" ht="13.5" thickBot="1" x14ac:dyDescent="0.25">
      <c r="P50" s="358"/>
      <c r="Q50" s="375" t="str">
        <f t="shared" si="4"/>
        <v>Ln50</v>
      </c>
      <c r="R50" s="503" t="str">
        <f>IF(AND(C7&gt;0,D17=0),"WARN","OK")</f>
        <v>OK</v>
      </c>
      <c r="S50" s="506" t="s">
        <v>112</v>
      </c>
      <c r="T50" s="507"/>
      <c r="U50" s="357"/>
      <c r="V50" s="357"/>
      <c r="W50" s="357"/>
      <c r="X50" s="357"/>
      <c r="Y50" s="458" t="s">
        <v>57</v>
      </c>
      <c r="Z50" s="459">
        <f>AA49</f>
        <v>2950</v>
      </c>
      <c r="AA50" s="460">
        <f>AC32</f>
        <v>2950</v>
      </c>
      <c r="AB50" s="461">
        <f>+AA50-Z50</f>
        <v>0</v>
      </c>
      <c r="AC50" s="462">
        <f>IF(AD50=AD49,AC49,AD49)</f>
        <v>39</v>
      </c>
      <c r="AD50" s="463">
        <f>AH32</f>
        <v>46</v>
      </c>
      <c r="AE50" s="464">
        <f>AD50-AC50</f>
        <v>7</v>
      </c>
      <c r="AF50" s="465">
        <f>IF(OR(AB50=0,AE50=0),0,ROUND(AE50/AB50,5))</f>
        <v>0</v>
      </c>
      <c r="AG50" s="466">
        <f ca="1">IF(AND(AA44&gt;=Z50,AA44&lt;AA50),AC50+((AA44-Z50)*AF50),AC50)</f>
        <v>39</v>
      </c>
      <c r="AH50" s="217">
        <f>AH49</f>
        <v>46</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358"/>
      <c r="Q51" s="375" t="str">
        <f t="shared" si="4"/>
        <v>Ln51</v>
      </c>
      <c r="R51" s="503" t="str">
        <f>IF(D18&gt;D15,"ERR","OK")</f>
        <v>OK</v>
      </c>
      <c r="S51" s="506" t="s">
        <v>94</v>
      </c>
      <c r="T51" s="507"/>
      <c r="U51" s="357"/>
      <c r="V51" s="357"/>
      <c r="W51" s="357"/>
      <c r="X51" s="357"/>
      <c r="Y51" s="357"/>
      <c r="Z51" s="357"/>
      <c r="AA51" s="357"/>
      <c r="AB51" s="357"/>
      <c r="AC51" s="357"/>
      <c r="AD51" s="357"/>
      <c r="AE51" s="357"/>
      <c r="AF51" s="357"/>
      <c r="AG51" s="357"/>
      <c r="AH51" s="357"/>
      <c r="AI51" s="237"/>
      <c r="AJ51" s="237"/>
    </row>
    <row r="52" spans="8:36" x14ac:dyDescent="0.2">
      <c r="I52" s="758"/>
      <c r="J52" s="762"/>
      <c r="K52" s="762"/>
      <c r="L52" s="762"/>
      <c r="M52" s="763"/>
      <c r="P52" s="358"/>
      <c r="Q52" s="375" t="str">
        <f t="shared" si="4"/>
        <v>Ln52</v>
      </c>
      <c r="R52" s="503" t="str">
        <f>IF(OR(D15=0,D16=0,D17=0),"WARN","OK")</f>
        <v>WARN</v>
      </c>
      <c r="S52" s="506" t="s">
        <v>110</v>
      </c>
      <c r="T52" s="507"/>
      <c r="U52" s="357"/>
      <c r="V52" s="357"/>
      <c r="W52" s="357"/>
      <c r="X52" s="357"/>
      <c r="Y52" s="357"/>
      <c r="Z52" s="357"/>
      <c r="AA52" s="357"/>
      <c r="AB52" s="357"/>
      <c r="AC52" s="357"/>
      <c r="AD52" s="357"/>
      <c r="AE52" s="357"/>
      <c r="AF52" s="357"/>
      <c r="AG52" s="357"/>
      <c r="AH52" s="357"/>
      <c r="AI52" s="237"/>
      <c r="AJ52" s="237"/>
    </row>
    <row r="53" spans="8:36" ht="13.5" thickBot="1" x14ac:dyDescent="0.25">
      <c r="I53" s="759"/>
      <c r="J53" s="764"/>
      <c r="K53" s="764"/>
      <c r="L53" s="764"/>
      <c r="M53" s="765"/>
      <c r="P53" s="358"/>
      <c r="Q53" s="375" t="str">
        <f t="shared" si="4"/>
        <v>Ln53</v>
      </c>
      <c r="R53" s="503" t="str">
        <f>IF(AND(D15&gt;0,D16&gt;0,D18&gt;0,T43&lt;1),"WARN","OK")</f>
        <v>OK</v>
      </c>
      <c r="S53" s="506" t="s">
        <v>90</v>
      </c>
      <c r="T53" s="507"/>
      <c r="U53" s="357"/>
      <c r="V53" s="357"/>
      <c r="W53" s="357"/>
      <c r="X53" s="357"/>
      <c r="Y53" s="357"/>
      <c r="Z53" s="357"/>
      <c r="AA53" s="357"/>
      <c r="AB53" s="357"/>
      <c r="AC53" s="357"/>
      <c r="AD53" s="357"/>
      <c r="AE53" s="357"/>
      <c r="AF53" s="357"/>
      <c r="AG53" s="357"/>
      <c r="AH53" s="357"/>
      <c r="AI53" s="237"/>
      <c r="AJ53" s="237"/>
    </row>
    <row r="54" spans="8:36" ht="13.5" thickTop="1" x14ac:dyDescent="0.2">
      <c r="I54" s="650" t="str">
        <f>IF(C4&lt;&gt;9999,"","Env "&amp;Z23&amp;"  "&amp;AA23&amp;"  "&amp;AA24&amp;"  "&amp;AA25&amp;"  "&amp;AA26&amp;"     "&amp;AC23&amp;"  "&amp;AD23&amp;"  "&amp;AD24&amp;"  "&amp;AD25&amp;"  "&amp;AD26)</f>
        <v/>
      </c>
      <c r="P54" s="358"/>
      <c r="Q54" s="357"/>
      <c r="R54" s="357"/>
      <c r="S54" s="357"/>
      <c r="T54" s="357"/>
      <c r="U54" s="357"/>
      <c r="V54" s="357"/>
      <c r="W54" s="357"/>
      <c r="X54" s="357"/>
      <c r="Y54" s="357"/>
      <c r="Z54" s="357"/>
      <c r="AA54" s="357"/>
      <c r="AB54" s="357"/>
      <c r="AC54" s="357"/>
      <c r="AD54" s="357"/>
      <c r="AE54" s="357"/>
      <c r="AF54" s="357"/>
      <c r="AG54" s="357"/>
      <c r="AH54" s="357"/>
      <c r="AI54" s="237"/>
      <c r="AJ54" s="237"/>
    </row>
    <row r="55" spans="8:36" x14ac:dyDescent="0.2">
      <c r="I55" s="651" t="str">
        <f>IF(C4&lt;&gt;9999,"","Fuel  T "&amp;T19&amp;"   F "&amp;T18&amp;"      Load   0 "&amp;U37&amp;"  T "&amp;U38&amp;"  F "&amp;U39)</f>
        <v/>
      </c>
      <c r="P55" s="358"/>
      <c r="Q55" s="357"/>
      <c r="R55" s="357"/>
      <c r="S55" s="357"/>
      <c r="T55" s="357"/>
      <c r="U55" s="357"/>
      <c r="V55" s="357"/>
      <c r="W55" s="357"/>
      <c r="X55" s="357"/>
      <c r="Y55" s="357"/>
      <c r="Z55" s="357"/>
      <c r="AA55" s="357"/>
      <c r="AB55" s="357"/>
      <c r="AC55" s="357"/>
      <c r="AD55" s="357"/>
      <c r="AE55" s="357"/>
      <c r="AF55" s="357"/>
      <c r="AG55" s="357"/>
      <c r="AH55" s="357"/>
      <c r="AI55" s="237"/>
      <c r="AJ55" s="237"/>
    </row>
    <row r="56" spans="8:36" x14ac:dyDescent="0.2">
      <c r="P56" s="358"/>
      <c r="Q56" s="357"/>
      <c r="R56" s="357"/>
      <c r="S56" s="357"/>
      <c r="T56" s="357"/>
      <c r="U56" s="357"/>
      <c r="V56" s="357"/>
      <c r="W56" s="357"/>
      <c r="X56" s="357"/>
      <c r="Y56" s="357"/>
      <c r="Z56" s="357"/>
      <c r="AA56" s="357"/>
      <c r="AB56" s="357"/>
      <c r="AC56" s="357"/>
      <c r="AD56" s="357"/>
      <c r="AE56" s="357"/>
      <c r="AF56" s="357"/>
      <c r="AG56" s="357"/>
      <c r="AH56" s="357"/>
      <c r="AI56" s="237"/>
      <c r="AJ56" s="237"/>
    </row>
  </sheetData>
  <sheetProtection algorithmName="SHA-512" hashValue="EjLnN6doQd0vDwifPxWSyaKnkBziav9pDahhBu0VwlEx1omi8IkmS8/jvyLfePe6CZKZAdvwG1J7OzrLMj0vKA==" saltValue="/sdxQl9Db6Zqt163CpAwCQ==" spinCount="100000" sheet="1" selectLockedCells="1"/>
  <mergeCells count="45">
    <mergeCell ref="C4:D4"/>
    <mergeCell ref="B1:H1"/>
    <mergeCell ref="C2:E2"/>
    <mergeCell ref="J2:K2"/>
    <mergeCell ref="D3:F3"/>
    <mergeCell ref="J3:K3"/>
    <mergeCell ref="B7:B8"/>
    <mergeCell ref="C7:D8"/>
    <mergeCell ref="E7:F8"/>
    <mergeCell ref="B9:B10"/>
    <mergeCell ref="C9:D10"/>
    <mergeCell ref="E9:F10"/>
    <mergeCell ref="C11:F11"/>
    <mergeCell ref="AA11:AB11"/>
    <mergeCell ref="AF11:AG11"/>
    <mergeCell ref="C12:F12"/>
    <mergeCell ref="AA12:AB12"/>
    <mergeCell ref="AF12:AG12"/>
    <mergeCell ref="AH13:AH15"/>
    <mergeCell ref="D15:E15"/>
    <mergeCell ref="D16:E16"/>
    <mergeCell ref="B21:B22"/>
    <mergeCell ref="C21:F22"/>
    <mergeCell ref="D17:E17"/>
    <mergeCell ref="AF17:AG17"/>
    <mergeCell ref="D18:E18"/>
    <mergeCell ref="D13:E13"/>
    <mergeCell ref="AC13:AC15"/>
    <mergeCell ref="C23:F23"/>
    <mergeCell ref="C24:F24"/>
    <mergeCell ref="AH37:AH39"/>
    <mergeCell ref="C25:F25"/>
    <mergeCell ref="D28:E28"/>
    <mergeCell ref="F28:H28"/>
    <mergeCell ref="D29:E29"/>
    <mergeCell ref="D30:E30"/>
    <mergeCell ref="F30:H30"/>
    <mergeCell ref="I51:I53"/>
    <mergeCell ref="J51:M53"/>
    <mergeCell ref="AF35:AG35"/>
    <mergeCell ref="AA36:AB36"/>
    <mergeCell ref="AF36:AG36"/>
    <mergeCell ref="AC37:AC39"/>
    <mergeCell ref="AF41:AG41"/>
    <mergeCell ref="AA35:AB35"/>
  </mergeCells>
  <conditionalFormatting sqref="T37:T38">
    <cfRule type="expression" dxfId="301" priority="18" stopIfTrue="1">
      <formula>S37=""</formula>
    </cfRule>
  </conditionalFormatting>
  <conditionalFormatting sqref="I26 I28">
    <cfRule type="expression" dxfId="300" priority="19" stopIfTrue="1">
      <formula>E7=""</formula>
    </cfRule>
  </conditionalFormatting>
  <conditionalFormatting sqref="I27 I29:I30">
    <cfRule type="expression" dxfId="299" priority="20" stopIfTrue="1">
      <formula>C9=""</formula>
    </cfRule>
  </conditionalFormatting>
  <conditionalFormatting sqref="U37:U39 V19">
    <cfRule type="expression" dxfId="298" priority="21" stopIfTrue="1">
      <formula>S19=""</formula>
    </cfRule>
  </conditionalFormatting>
  <conditionalFormatting sqref="C25">
    <cfRule type="expression" dxfId="297" priority="22" stopIfTrue="1">
      <formula>AND(C7="",E7+C9+E9&gt;0)</formula>
    </cfRule>
  </conditionalFormatting>
  <conditionalFormatting sqref="B30">
    <cfRule type="expression" dxfId="296" priority="23" stopIfTrue="1">
      <formula>D29&gt;D28</formula>
    </cfRule>
  </conditionalFormatting>
  <conditionalFormatting sqref="D30:E30">
    <cfRule type="expression" dxfId="295" priority="24" stopIfTrue="1">
      <formula>D29&gt;D28</formula>
    </cfRule>
  </conditionalFormatting>
  <conditionalFormatting sqref="F30:H30">
    <cfRule type="expression" dxfId="294" priority="25" stopIfTrue="1">
      <formula>D29&gt;D28</formula>
    </cfRule>
  </conditionalFormatting>
  <conditionalFormatting sqref="B23 B25">
    <cfRule type="cellIs" dxfId="293" priority="26" stopIfTrue="1" operator="notEqual">
      <formula>""</formula>
    </cfRule>
  </conditionalFormatting>
  <conditionalFormatting sqref="B24">
    <cfRule type="cellIs" dxfId="292" priority="27" stopIfTrue="1" operator="notEqual">
      <formula>""</formula>
    </cfRule>
  </conditionalFormatting>
  <conditionalFormatting sqref="R46:R53 R8 R10 R29:R30 R33">
    <cfRule type="cellIs" dxfId="291" priority="28" stopIfTrue="1" operator="notEqual">
      <formula>""</formula>
    </cfRule>
  </conditionalFormatting>
  <conditionalFormatting sqref="S37:S39">
    <cfRule type="expression" dxfId="290" priority="29" stopIfTrue="1">
      <formula>S37=""</formula>
    </cfRule>
  </conditionalFormatting>
  <conditionalFormatting sqref="R18">
    <cfRule type="cellIs" dxfId="289" priority="30" stopIfTrue="1" operator="notEqual">
      <formula>""</formula>
    </cfRule>
  </conditionalFormatting>
  <conditionalFormatting sqref="J5">
    <cfRule type="expression" dxfId="288" priority="31" stopIfTrue="1">
      <formula>expired=TRUE</formula>
    </cfRule>
  </conditionalFormatting>
  <conditionalFormatting sqref="B1:H1">
    <cfRule type="expression" dxfId="287" priority="32" stopIfTrue="1">
      <formula>expired=TRUE</formula>
    </cfRule>
    <cfRule type="expression" dxfId="286" priority="33" stopIfTrue="1">
      <formula>old_ver=TRUE</formula>
    </cfRule>
  </conditionalFormatting>
  <conditionalFormatting sqref="I3">
    <cfRule type="expression" dxfId="285" priority="34" stopIfTrue="1">
      <formula>D3=""</formula>
    </cfRule>
  </conditionalFormatting>
  <conditionalFormatting sqref="J2">
    <cfRule type="expression" dxfId="284" priority="35" stopIfTrue="1">
      <formula>D3=""</formula>
    </cfRule>
  </conditionalFormatting>
  <conditionalFormatting sqref="L2">
    <cfRule type="expression" dxfId="283" priority="36" stopIfTrue="1">
      <formula>D3=""</formula>
    </cfRule>
  </conditionalFormatting>
  <conditionalFormatting sqref="L3">
    <cfRule type="expression" dxfId="282" priority="37" stopIfTrue="1">
      <formula>D3=""</formula>
    </cfRule>
  </conditionalFormatting>
  <conditionalFormatting sqref="J3:K3">
    <cfRule type="expression" dxfId="281" priority="38" stopIfTrue="1">
      <formula>D3=""</formula>
    </cfRule>
  </conditionalFormatting>
  <conditionalFormatting sqref="I2">
    <cfRule type="expression" dxfId="280" priority="39" stopIfTrue="1">
      <formula>AND(D3="",C2="")</formula>
    </cfRule>
  </conditionalFormatting>
  <conditionalFormatting sqref="V21">
    <cfRule type="expression" dxfId="279" priority="17" stopIfTrue="1">
      <formula>T21=""</formula>
    </cfRule>
  </conditionalFormatting>
  <conditionalFormatting sqref="E21:E22">
    <cfRule type="expression" dxfId="278" priority="40" stopIfTrue="1">
      <formula>OR(AC19="out",AF19="out")</formula>
    </cfRule>
  </conditionalFormatting>
  <conditionalFormatting sqref="M17">
    <cfRule type="expression" dxfId="277" priority="41" stopIfTrue="1">
      <formula>AE19="out"</formula>
    </cfRule>
  </conditionalFormatting>
  <conditionalFormatting sqref="K17">
    <cfRule type="expression" dxfId="276" priority="42" stopIfTrue="1">
      <formula>AE19&lt;&gt;"OK"</formula>
    </cfRule>
  </conditionalFormatting>
  <conditionalFormatting sqref="F21:F22">
    <cfRule type="expression" dxfId="275" priority="43" stopIfTrue="1">
      <formula>OR(AE19="out",AG19="out")</formula>
    </cfRule>
  </conditionalFormatting>
  <conditionalFormatting sqref="C21:C22">
    <cfRule type="expression" dxfId="274" priority="44" stopIfTrue="1">
      <formula>OR(AA19="out",AE19="out")</formula>
    </cfRule>
  </conditionalFormatting>
  <conditionalFormatting sqref="D21:D22">
    <cfRule type="expression" dxfId="273" priority="45" stopIfTrue="1">
      <formula>OR(AB19="out",#REF!="out")</formula>
    </cfRule>
  </conditionalFormatting>
  <conditionalFormatting sqref="K20">
    <cfRule type="expression" dxfId="272" priority="46" stopIfTrue="1">
      <formula>AE43&lt;&gt;"OK"</formula>
    </cfRule>
  </conditionalFormatting>
  <conditionalFormatting sqref="J16">
    <cfRule type="expression" dxfId="271" priority="47" stopIfTrue="1">
      <formula>R8&lt;&gt;"OK"</formula>
    </cfRule>
  </conditionalFormatting>
  <conditionalFormatting sqref="J19">
    <cfRule type="expression" dxfId="270" priority="48" stopIfTrue="1">
      <formula>R10&lt;&gt;"OK"</formula>
    </cfRule>
  </conditionalFormatting>
  <conditionalFormatting sqref="B21">
    <cfRule type="expression" dxfId="269" priority="49" stopIfTrue="1">
      <formula>R10&lt;&gt;"OK"</formula>
    </cfRule>
    <cfRule type="expression" dxfId="268" priority="50" stopIfTrue="1">
      <formula>R11&lt;&gt;"OK"</formula>
    </cfRule>
  </conditionalFormatting>
  <conditionalFormatting sqref="V27">
    <cfRule type="expression" dxfId="267" priority="15" stopIfTrue="1">
      <formula>T27=""</formula>
    </cfRule>
  </conditionalFormatting>
  <conditionalFormatting sqref="V26">
    <cfRule type="expression" dxfId="266" priority="16" stopIfTrue="1">
      <formula>S26=""</formula>
    </cfRule>
  </conditionalFormatting>
  <conditionalFormatting sqref="D15:E15">
    <cfRule type="expression" dxfId="265" priority="51" stopIfTrue="1">
      <formula>R18="err"</formula>
    </cfRule>
  </conditionalFormatting>
  <conditionalFormatting sqref="F23">
    <cfRule type="expression" dxfId="264" priority="52" stopIfTrue="1">
      <formula>#REF!&lt;&gt;"OK"</formula>
    </cfRule>
  </conditionalFormatting>
  <conditionalFormatting sqref="M16">
    <cfRule type="expression" dxfId="263" priority="53" stopIfTrue="1">
      <formula>J16&gt;U8</formula>
    </cfRule>
  </conditionalFormatting>
  <conditionalFormatting sqref="V18">
    <cfRule type="expression" dxfId="262" priority="54" stopIfTrue="1">
      <formula>S18=""</formula>
    </cfRule>
  </conditionalFormatting>
  <conditionalFormatting sqref="R31">
    <cfRule type="cellIs" dxfId="261" priority="14" stopIfTrue="1" operator="notEqual">
      <formula>""</formula>
    </cfRule>
  </conditionalFormatting>
  <conditionalFormatting sqref="R34">
    <cfRule type="cellIs" dxfId="260" priority="13" stopIfTrue="1" operator="notEqual">
      <formula>""</formula>
    </cfRule>
  </conditionalFormatting>
  <conditionalFormatting sqref="R32">
    <cfRule type="cellIs" dxfId="259" priority="12" stopIfTrue="1" operator="notEqual">
      <formula>""</formula>
    </cfRule>
  </conditionalFormatting>
  <conditionalFormatting sqref="B22">
    <cfRule type="expression" dxfId="258" priority="55" stopIfTrue="1">
      <formula>R11&lt;&gt;"OK"</formula>
    </cfRule>
    <cfRule type="expression" dxfId="257" priority="56" stopIfTrue="1">
      <formula>R29&lt;&gt;"OK"</formula>
    </cfRule>
  </conditionalFormatting>
  <conditionalFormatting sqref="C12">
    <cfRule type="expression" dxfId="256" priority="57" stopIfTrue="1">
      <formula>R30="ERR"</formula>
    </cfRule>
  </conditionalFormatting>
  <conditionalFormatting sqref="C11">
    <cfRule type="expression" dxfId="255" priority="58" stopIfTrue="1">
      <formula>R29="ERR"</formula>
    </cfRule>
  </conditionalFormatting>
  <conditionalFormatting sqref="C23:E23">
    <cfRule type="expression" dxfId="254" priority="59" stopIfTrue="1">
      <formula>R53&lt;&gt;"OK"</formula>
    </cfRule>
  </conditionalFormatting>
  <conditionalFormatting sqref="C7:D8">
    <cfRule type="expression" dxfId="253" priority="60" stopIfTrue="1">
      <formula>R46&lt;&gt;"OK"</formula>
    </cfRule>
  </conditionalFormatting>
  <conditionalFormatting sqref="D18:E18">
    <cfRule type="expression" dxfId="252" priority="61" stopIfTrue="1">
      <formula>R51&lt;&gt;"OK"</formula>
    </cfRule>
  </conditionalFormatting>
  <conditionalFormatting sqref="B18 B20">
    <cfRule type="expression" dxfId="251" priority="62" stopIfTrue="1">
      <formula>R51&lt;&gt;"OK"</formula>
    </cfRule>
  </conditionalFormatting>
  <conditionalFormatting sqref="D19">
    <cfRule type="expression" dxfId="250" priority="63" stopIfTrue="1">
      <formula>R53&lt;&gt;"ok"</formula>
    </cfRule>
  </conditionalFormatting>
  <conditionalFormatting sqref="D13:E13">
    <cfRule type="expression" dxfId="249" priority="64">
      <formula>AND(R34="ERR",D13&lt;&gt;0)</formula>
    </cfRule>
    <cfRule type="expression" dxfId="248" priority="65" stopIfTrue="1">
      <formula>R31="ERR"</formula>
    </cfRule>
  </conditionalFormatting>
  <conditionalFormatting sqref="C12:F12">
    <cfRule type="expression" dxfId="247" priority="66" stopIfTrue="1">
      <formula>AND(C12&lt;&gt;0,R33="ERR")</formula>
    </cfRule>
    <cfRule type="expression" dxfId="246" priority="67" stopIfTrue="1">
      <formula>AND(R34="ERR",C12&lt;&gt;0)</formula>
    </cfRule>
  </conditionalFormatting>
  <conditionalFormatting sqref="C11:F11">
    <cfRule type="expression" dxfId="245" priority="68" stopIfTrue="1">
      <formula>R33="ERR"</formula>
    </cfRule>
    <cfRule type="expression" dxfId="244" priority="69" stopIfTrue="1">
      <formula>R32="ERR"</formula>
    </cfRule>
  </conditionalFormatting>
  <conditionalFormatting sqref="S21">
    <cfRule type="expression" dxfId="243" priority="11" stopIfTrue="1">
      <formula>T21=""</formula>
    </cfRule>
  </conditionalFormatting>
  <conditionalFormatting sqref="S22:S23">
    <cfRule type="expression" dxfId="242" priority="10" stopIfTrue="1">
      <formula>S22=""</formula>
    </cfRule>
  </conditionalFormatting>
  <conditionalFormatting sqref="S20">
    <cfRule type="expression" dxfId="241" priority="8">
      <formula>AND(OR(T20="",LEFT(T20,1)="F"),T18&lt;&gt;T19)</formula>
    </cfRule>
    <cfRule type="expression" dxfId="240" priority="9">
      <formula>AND(LEFT(T20,1)&lt;&gt;"F",T18=T19)</formula>
    </cfRule>
  </conditionalFormatting>
  <conditionalFormatting sqref="R20">
    <cfRule type="cellIs" dxfId="239" priority="7" stopIfTrue="1" operator="notEqual">
      <formula>""</formula>
    </cfRule>
  </conditionalFormatting>
  <conditionalFormatting sqref="V20">
    <cfRule type="expression" dxfId="238" priority="6" stopIfTrue="1">
      <formula>T20=""</formula>
    </cfRule>
  </conditionalFormatting>
  <conditionalFormatting sqref="S12:S15">
    <cfRule type="expression" dxfId="237" priority="5" stopIfTrue="1">
      <formula>S12=""</formula>
    </cfRule>
  </conditionalFormatting>
  <conditionalFormatting sqref="R11">
    <cfRule type="cellIs" dxfId="236" priority="4" stopIfTrue="1" operator="notEqual">
      <formula>""</formula>
    </cfRule>
  </conditionalFormatting>
  <conditionalFormatting sqref="S19">
    <cfRule type="expression" dxfId="235" priority="3" stopIfTrue="1">
      <formula>#REF!=""</formula>
    </cfRule>
  </conditionalFormatting>
  <conditionalFormatting sqref="C24:F24">
    <cfRule type="cellIs" dxfId="234" priority="2" stopIfTrue="1" operator="notEqual">
      <formula>""</formula>
    </cfRule>
  </conditionalFormatting>
  <conditionalFormatting sqref="I4">
    <cfRule type="expression" dxfId="233" priority="1" stopIfTrue="1">
      <formula>K3&gt;K2</formula>
    </cfRule>
  </conditionalFormatting>
  <dataValidations count="3">
    <dataValidation type="date" allowBlank="1" showInputMessage="1" showErrorMessage="1" errorTitle="Input Error" error="A valid date must be entered into this cell.  Enter as  mm/dd/yy  _x000a__x000a_" sqref="C2:E2" xr:uid="{5A7AAA6B-7351-4E69-AD21-272A9F7D65E5}">
      <formula1>36526</formula1>
      <formula2>44196</formula2>
    </dataValidation>
    <dataValidation type="custom" allowBlank="1" showInputMessage="1" showErrorMessage="1" errorTitle="Input Error" error="Entry must be a NUMERIC VALUE!" sqref="D15:E17 C7:F12" xr:uid="{BA11D320-EBEC-4773-8A8A-EC96872CA71B}">
      <formula1>ISNUMBER(C7)</formula1>
    </dataValidation>
    <dataValidation type="list" showInputMessage="1" showErrorMessage="1" errorTitle="STANDARD FUELING LEVEL" error="STANDARD FUELING LEVEL MUST BE ENTERED:_x000a_TABS,_x000a_Measured,_x000a_FULL" sqref="T20" xr:uid="{D4A5E8A8-DC2A-415C-A73C-2AE3AB6FD1B7}">
      <formula1>"TABS,Measured,FULL"</formula1>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00FF"/>
    <pageSetUpPr fitToPage="1"/>
  </sheetPr>
  <dimension ref="B1:AJ56"/>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4" width="4.7109375" hidden="1" customWidth="1"/>
    <col min="15" max="15" width="4.5703125" hidden="1" customWidth="1"/>
    <col min="16" max="16" width="11.7109375" style="41" hidden="1" customWidth="1"/>
    <col min="17" max="17" width="9.7109375" style="41" hidden="1" customWidth="1"/>
    <col min="18" max="18" width="8.42578125" style="41" hidden="1" customWidth="1"/>
    <col min="19" max="19" width="19" style="41" hidden="1" customWidth="1"/>
    <col min="20" max="22" width="7.7109375" style="41" hidden="1" customWidth="1"/>
    <col min="23" max="23" width="29.42578125" style="41" hidden="1" customWidth="1"/>
    <col min="24" max="24" width="4.7109375" style="41" hidden="1" customWidth="1"/>
    <col min="25" max="25" width="3.5703125" style="41" hidden="1" customWidth="1"/>
    <col min="26" max="33" width="9.140625" style="41" hidden="1" customWidth="1"/>
    <col min="34" max="34" width="9.5703125" style="41" hidden="1" customWidth="1"/>
    <col min="35" max="35" width="9" hidden="1" customWidth="1"/>
    <col min="36" max="36" width="9.5703125" hidden="1" customWidth="1"/>
    <col min="37" max="37" width="8.140625" customWidth="1"/>
  </cols>
  <sheetData>
    <row r="1" spans="2:36" ht="22.15" customHeight="1" thickBot="1" x14ac:dyDescent="0.25">
      <c r="B1" s="807" t="str">
        <f ca="1">status_msg</f>
        <v/>
      </c>
      <c r="C1" s="807"/>
      <c r="D1" s="807"/>
      <c r="E1" s="807"/>
      <c r="F1" s="807"/>
      <c r="G1" s="807"/>
      <c r="H1" s="807"/>
      <c r="I1" s="514" t="str">
        <f>Q1</f>
        <v>CAP 921</v>
      </c>
      <c r="J1" s="514" t="str">
        <f>R1</f>
        <v>N697CP</v>
      </c>
      <c r="K1" s="515"/>
      <c r="L1" s="516" t="str">
        <f>S1</f>
        <v>(230hp C182T) Long Range Tanks</v>
      </c>
      <c r="M1" s="517"/>
      <c r="P1" s="354" t="s">
        <v>178</v>
      </c>
      <c r="Q1" s="355" t="s">
        <v>288</v>
      </c>
      <c r="R1" s="355" t="s">
        <v>289</v>
      </c>
      <c r="S1" s="356" t="s">
        <v>181</v>
      </c>
      <c r="T1" s="356"/>
      <c r="U1" s="357"/>
      <c r="V1" s="357"/>
      <c r="W1" s="357"/>
      <c r="X1" s="357"/>
      <c r="Y1" s="357"/>
      <c r="Z1" s="357"/>
      <c r="AA1" s="357"/>
      <c r="AB1" s="357"/>
      <c r="AC1" s="357"/>
      <c r="AD1" s="357"/>
      <c r="AE1" s="357"/>
      <c r="AF1" s="357"/>
      <c r="AG1" s="357"/>
      <c r="AH1" s="357"/>
      <c r="AI1" s="237"/>
      <c r="AJ1" s="237"/>
    </row>
    <row r="2" spans="2:36" ht="15" customHeight="1" thickTop="1" thickBot="1" x14ac:dyDescent="0.25">
      <c r="B2" s="137" t="s">
        <v>131</v>
      </c>
      <c r="C2" s="808"/>
      <c r="D2" s="808"/>
      <c r="E2" s="809"/>
      <c r="F2" s="142" t="str">
        <f>IF(D3="","mm/dd/yy","(if not today)")</f>
        <v>mm/dd/yy</v>
      </c>
      <c r="H2" s="351"/>
      <c r="I2" s="138" t="s">
        <v>131</v>
      </c>
      <c r="J2" s="810" t="str">
        <f>IF(C3="","","Mission Symbol")&amp;"   Mission No:"</f>
        <v xml:space="preserve">   Mission No:</v>
      </c>
      <c r="K2" s="810"/>
      <c r="L2" s="353" t="s">
        <v>130</v>
      </c>
      <c r="P2" s="358"/>
      <c r="Q2" s="359" t="s">
        <v>173</v>
      </c>
      <c r="R2" s="359" t="s">
        <v>145</v>
      </c>
      <c r="S2" s="360" t="s">
        <v>172</v>
      </c>
      <c r="T2" s="361"/>
      <c r="U2" s="357"/>
      <c r="V2" s="357"/>
      <c r="W2" s="357"/>
      <c r="X2" s="357"/>
      <c r="Y2" s="357"/>
      <c r="Z2" s="357"/>
      <c r="AA2" s="357"/>
      <c r="AB2" s="357"/>
      <c r="AC2" s="357"/>
      <c r="AD2" s="357"/>
      <c r="AE2" s="357"/>
      <c r="AF2" s="357"/>
      <c r="AG2" s="357"/>
      <c r="AH2" s="357"/>
      <c r="AI2" s="237"/>
      <c r="AJ2" s="237"/>
    </row>
    <row r="3" spans="2:36" ht="15" customHeight="1" thickTop="1" thickBot="1" x14ac:dyDescent="0.25">
      <c r="B3" s="140" t="s">
        <v>137</v>
      </c>
      <c r="C3" s="352"/>
      <c r="D3" s="811"/>
      <c r="E3" s="811"/>
      <c r="F3" s="812"/>
      <c r="I3" s="131" t="str">
        <f ca="1">IF(AND(D3="",C2=""),"",IF(C2="",TODAY(),C2))</f>
        <v/>
      </c>
      <c r="J3" s="813" t="str">
        <f>IF(C3="","",IF(D3="","",C3))&amp;"      "&amp;IF(D3="","",D3)</f>
        <v xml:space="preserve">      </v>
      </c>
      <c r="K3" s="814"/>
      <c r="L3" s="132" t="str">
        <f>IF(C4="","",C4)</f>
        <v/>
      </c>
      <c r="P3" s="362"/>
      <c r="Q3" s="363"/>
      <c r="R3" s="363"/>
      <c r="S3" s="357"/>
      <c r="T3" s="357"/>
      <c r="U3" s="357"/>
      <c r="V3" s="357"/>
      <c r="W3" s="357"/>
      <c r="X3" s="357"/>
      <c r="Y3" s="357"/>
      <c r="Z3" s="364"/>
      <c r="AA3" s="357"/>
      <c r="AB3" s="365"/>
      <c r="AC3" s="357"/>
      <c r="AD3" s="357"/>
      <c r="AE3" s="357"/>
      <c r="AF3" s="357"/>
      <c r="AG3" s="357"/>
      <c r="AH3" s="357"/>
      <c r="AI3" s="237"/>
      <c r="AJ3" s="237"/>
    </row>
    <row r="4" spans="2:36" ht="12" customHeight="1" thickTop="1" x14ac:dyDescent="0.2">
      <c r="B4" s="140" t="s">
        <v>130</v>
      </c>
      <c r="C4" s="822"/>
      <c r="D4" s="823"/>
      <c r="E4" s="140"/>
      <c r="I4" s="687" t="s">
        <v>287</v>
      </c>
      <c r="J4" s="689"/>
      <c r="K4" s="688"/>
      <c r="L4" s="688"/>
      <c r="M4" s="688"/>
      <c r="P4" s="553" t="s">
        <v>222</v>
      </c>
      <c r="Q4" s="366"/>
      <c r="R4" s="366"/>
      <c r="S4" s="357"/>
      <c r="T4" s="367" t="s">
        <v>98</v>
      </c>
      <c r="U4" s="368"/>
      <c r="V4" s="369" t="s">
        <v>99</v>
      </c>
      <c r="W4" s="357"/>
      <c r="X4" s="357"/>
      <c r="Y4" s="357"/>
      <c r="Z4" s="357"/>
      <c r="AA4" s="357"/>
      <c r="AB4" s="357"/>
      <c r="AC4" s="357"/>
      <c r="AD4" s="357"/>
      <c r="AE4" s="357"/>
      <c r="AF4" s="357"/>
      <c r="AG4" s="357"/>
      <c r="AH4" s="357"/>
      <c r="AI4" s="237"/>
      <c r="AJ4" s="237"/>
    </row>
    <row r="5" spans="2:36" ht="12" customHeight="1" x14ac:dyDescent="0.2">
      <c r="I5" s="35"/>
      <c r="J5" s="36"/>
      <c r="K5" s="36"/>
      <c r="L5" s="36"/>
      <c r="M5" s="134" t="str">
        <f>"Release ID:   "&amp;release_nbr&amp;"    "&amp;TEXT(release_date,"dd mmm yyyy  ")</f>
        <v xml:space="preserve">Release ID:   R1    21 Mar 2020  </v>
      </c>
      <c r="P5" s="362"/>
      <c r="Q5" s="357"/>
      <c r="R5" s="357"/>
      <c r="S5" s="357"/>
      <c r="T5" s="357"/>
      <c r="U5" s="357"/>
      <c r="V5" s="357"/>
      <c r="W5" s="357"/>
      <c r="X5" s="357"/>
      <c r="Y5" s="357"/>
      <c r="Z5" s="357"/>
      <c r="AA5" s="357"/>
      <c r="AB5" s="357"/>
      <c r="AC5" s="357"/>
      <c r="AD5" s="357"/>
      <c r="AE5" s="357"/>
      <c r="AF5" s="357"/>
      <c r="AG5" s="357"/>
      <c r="AH5" s="357"/>
      <c r="AI5" s="237"/>
      <c r="AJ5" s="237"/>
    </row>
    <row r="6" spans="2:36" ht="12.75" customHeight="1" thickBot="1" x14ac:dyDescent="0.35">
      <c r="B6" s="3" t="s">
        <v>31</v>
      </c>
      <c r="I6" s="37" t="s">
        <v>0</v>
      </c>
      <c r="J6" s="38" t="s">
        <v>1</v>
      </c>
      <c r="K6" s="38" t="s">
        <v>2</v>
      </c>
      <c r="L6" s="39" t="s">
        <v>97</v>
      </c>
      <c r="M6" s="133" t="s">
        <v>3</v>
      </c>
      <c r="P6" s="362"/>
      <c r="Q6" s="370" t="s">
        <v>120</v>
      </c>
      <c r="R6" s="371"/>
      <c r="S6" s="371"/>
      <c r="T6" s="371"/>
      <c r="U6" s="372" t="s">
        <v>1</v>
      </c>
      <c r="V6" s="372" t="s">
        <v>2</v>
      </c>
      <c r="W6" s="373" t="s">
        <v>179</v>
      </c>
      <c r="X6" s="357"/>
      <c r="Y6" s="357"/>
      <c r="Z6" s="357"/>
      <c r="AA6" s="357"/>
      <c r="AB6" s="374" t="s">
        <v>163</v>
      </c>
      <c r="AC6" s="371"/>
      <c r="AD6" s="371"/>
      <c r="AE6" s="371"/>
      <c r="AF6" s="371"/>
      <c r="AG6" s="371"/>
      <c r="AH6" s="357"/>
      <c r="AI6" s="237"/>
      <c r="AJ6" s="237"/>
    </row>
    <row r="7" spans="2:36" ht="15" customHeight="1" thickTop="1" thickBot="1" x14ac:dyDescent="0.25">
      <c r="B7" s="803" t="s">
        <v>32</v>
      </c>
      <c r="C7" s="802"/>
      <c r="D7" s="804"/>
      <c r="E7" s="802"/>
      <c r="F7" s="800"/>
      <c r="H7" s="1"/>
      <c r="I7" s="13" t="s">
        <v>4</v>
      </c>
      <c r="J7" s="188">
        <f>U7</f>
        <v>2050.7199999999998</v>
      </c>
      <c r="K7" s="67">
        <f>V7</f>
        <v>39.6</v>
      </c>
      <c r="L7" s="68">
        <f>ROUND(J7*K7/1000,5)</f>
        <v>81.208510000000004</v>
      </c>
      <c r="M7" s="586" t="str">
        <f>IF(W7="","",W7)</f>
        <v>W/B: 30-AUG-2010 Michael J Gick</v>
      </c>
      <c r="P7" s="362"/>
      <c r="Q7" s="375" t="str">
        <f>"Ln"&amp;ROW()</f>
        <v>Ln7</v>
      </c>
      <c r="R7" s="376"/>
      <c r="S7" s="377" t="s">
        <v>4</v>
      </c>
      <c r="T7" s="378"/>
      <c r="U7" s="379">
        <v>2050.7199999999998</v>
      </c>
      <c r="V7" s="380">
        <v>39.6</v>
      </c>
      <c r="W7" s="381" t="s">
        <v>297</v>
      </c>
      <c r="X7" s="357"/>
      <c r="Y7" s="357"/>
      <c r="Z7" s="357"/>
      <c r="AA7" s="357"/>
      <c r="AB7" s="357"/>
      <c r="AC7" s="382"/>
      <c r="AD7" s="383" t="s">
        <v>162</v>
      </c>
      <c r="AE7" s="357"/>
      <c r="AF7" s="357"/>
      <c r="AG7" s="357"/>
      <c r="AH7" s="357"/>
      <c r="AI7" s="237"/>
      <c r="AJ7" s="237"/>
    </row>
    <row r="8" spans="2:36" ht="15" customHeight="1" thickTop="1" thickBot="1" x14ac:dyDescent="0.25">
      <c r="B8" s="803"/>
      <c r="C8" s="802"/>
      <c r="D8" s="804"/>
      <c r="E8" s="802"/>
      <c r="F8" s="800"/>
      <c r="H8" s="1"/>
      <c r="I8" s="125" t="s">
        <v>10</v>
      </c>
      <c r="J8" s="189">
        <f>D15*6</f>
        <v>384</v>
      </c>
      <c r="K8" s="69">
        <f>U18</f>
        <v>46.5</v>
      </c>
      <c r="L8" s="72">
        <f t="shared" ref="L8:L13" si="0">ROUND((J8*K8)/1000,5)</f>
        <v>17.856000000000002</v>
      </c>
      <c r="M8" s="11" t="str">
        <f>V18&amp;" lbs Max ("&amp;T18&amp;" gals)  "&amp;IF(OR(T18=T19,T19="",T19=0),"",V19&amp;" lbs Tabs ("&amp;T19&amp;" gals)")</f>
        <v>522 lbs Max (87 gals)  384 lbs Tabs (64 gals)</v>
      </c>
      <c r="P8" s="362"/>
      <c r="Q8" s="375" t="str">
        <f t="shared" ref="Q8:Q34" si="1">"Ln"&amp;ROW()</f>
        <v>Ln8</v>
      </c>
      <c r="R8" s="384" t="str">
        <f ca="1">IF(J16&gt;U8,"ERR","OK")</f>
        <v>OK</v>
      </c>
      <c r="S8" s="377" t="s">
        <v>168</v>
      </c>
      <c r="T8" s="378"/>
      <c r="U8" s="385">
        <v>3100</v>
      </c>
      <c r="V8" s="357"/>
      <c r="W8" s="357"/>
      <c r="X8" s="357"/>
      <c r="Y8" s="386"/>
      <c r="Z8" s="387"/>
      <c r="AA8" s="388">
        <v>3100</v>
      </c>
      <c r="AC8" s="624">
        <f>AA8</f>
        <v>3100</v>
      </c>
      <c r="AD8" s="357"/>
      <c r="AF8" s="389">
        <v>40.9</v>
      </c>
      <c r="AH8" s="390">
        <v>46</v>
      </c>
      <c r="AI8" s="237"/>
      <c r="AJ8" s="237"/>
    </row>
    <row r="9" spans="2:36" ht="15" customHeight="1" thickTop="1" thickBot="1" x14ac:dyDescent="0.25">
      <c r="B9" s="803" t="s">
        <v>33</v>
      </c>
      <c r="C9" s="802"/>
      <c r="D9" s="804"/>
      <c r="E9" s="802"/>
      <c r="F9" s="800"/>
      <c r="H9" s="1"/>
      <c r="I9" s="125" t="s">
        <v>11</v>
      </c>
      <c r="J9" s="189">
        <f>C7+E7</f>
        <v>0</v>
      </c>
      <c r="K9" s="69">
        <f>U26</f>
        <v>37</v>
      </c>
      <c r="L9" s="72">
        <f t="shared" si="0"/>
        <v>0</v>
      </c>
      <c r="M9" s="11" t="str">
        <f>IF(W26="","",W26)</f>
        <v/>
      </c>
      <c r="P9" s="362"/>
      <c r="Q9" s="375" t="str">
        <f t="shared" si="1"/>
        <v>Ln9</v>
      </c>
      <c r="R9" s="391"/>
      <c r="S9" s="377" t="s">
        <v>169</v>
      </c>
      <c r="T9" s="378"/>
      <c r="U9" s="385">
        <v>3110</v>
      </c>
      <c r="V9" s="392"/>
      <c r="W9" s="393" t="s">
        <v>176</v>
      </c>
      <c r="X9" s="357"/>
      <c r="Y9" s="394"/>
      <c r="Z9" s="395"/>
      <c r="AD9" s="357"/>
      <c r="AI9" s="237"/>
      <c r="AJ9" s="237"/>
    </row>
    <row r="10" spans="2:36" ht="15" customHeight="1" thickTop="1" thickBot="1" x14ac:dyDescent="0.3">
      <c r="B10" s="803"/>
      <c r="C10" s="802"/>
      <c r="D10" s="804"/>
      <c r="E10" s="802"/>
      <c r="F10" s="800"/>
      <c r="H10" s="1"/>
      <c r="I10" s="125" t="s">
        <v>12</v>
      </c>
      <c r="J10" s="189">
        <f>C9+E9</f>
        <v>0</v>
      </c>
      <c r="K10" s="69">
        <f>U27</f>
        <v>74</v>
      </c>
      <c r="L10" s="72">
        <f t="shared" si="0"/>
        <v>0</v>
      </c>
      <c r="M10" s="11" t="str">
        <f>IF(W27="","",W27)</f>
        <v/>
      </c>
      <c r="P10" s="362"/>
      <c r="Q10" s="375" t="str">
        <f t="shared" si="1"/>
        <v>Ln10</v>
      </c>
      <c r="R10" s="384" t="str">
        <f>IF(U8=U10,"OK",IF(J20&gt;U10,"WARN","OK"))</f>
        <v>OK</v>
      </c>
      <c r="S10" s="377" t="s">
        <v>170</v>
      </c>
      <c r="T10" s="378"/>
      <c r="U10" s="385">
        <v>2950</v>
      </c>
      <c r="V10" s="392"/>
      <c r="W10" s="393" t="s">
        <v>176</v>
      </c>
      <c r="X10" s="357"/>
      <c r="Y10" s="396" t="s">
        <v>155</v>
      </c>
      <c r="Z10" s="388">
        <v>2700</v>
      </c>
      <c r="AD10" s="357"/>
      <c r="AE10" s="389">
        <v>35.5</v>
      </c>
      <c r="AI10" s="237"/>
      <c r="AJ10" s="237"/>
    </row>
    <row r="11" spans="2:36" ht="15" customHeight="1" thickTop="1" thickBot="1" x14ac:dyDescent="0.3">
      <c r="B11" s="6" t="s">
        <v>25</v>
      </c>
      <c r="C11" s="800"/>
      <c r="D11" s="801"/>
      <c r="E11" s="801"/>
      <c r="F11" s="802"/>
      <c r="H11" s="1"/>
      <c r="I11" s="19" t="s">
        <v>13</v>
      </c>
      <c r="J11" s="189">
        <f>C11</f>
        <v>0</v>
      </c>
      <c r="K11" s="69">
        <f>U29</f>
        <v>97</v>
      </c>
      <c r="L11" s="72">
        <f t="shared" si="0"/>
        <v>0</v>
      </c>
      <c r="M11" s="11" t="str">
        <f>V29&amp;" lbs max ("&amp;V32&amp;" max baggage 1+2+3)"</f>
        <v>120 lbs max (200 max baggage 1+2+3)</v>
      </c>
      <c r="P11" s="362"/>
      <c r="Q11" s="375" t="str">
        <f t="shared" si="1"/>
        <v>Ln11</v>
      </c>
      <c r="R11" s="384" t="str">
        <f ca="1">IF(U8=U10,"OK",IF(J19&gt;U11,"WARN","OK"))</f>
        <v>OK</v>
      </c>
      <c r="S11" s="397" t="s">
        <v>184</v>
      </c>
      <c r="T11" s="398"/>
      <c r="U11" s="399">
        <f>U10</f>
        <v>2950</v>
      </c>
      <c r="V11" s="357"/>
      <c r="W11" s="357"/>
      <c r="X11" s="357"/>
      <c r="Y11" s="396" t="s">
        <v>50</v>
      </c>
      <c r="Z11" s="395"/>
      <c r="AA11" s="766" t="s">
        <v>1</v>
      </c>
      <c r="AB11" s="766"/>
      <c r="AD11" s="357"/>
      <c r="AF11" s="766" t="s">
        <v>154</v>
      </c>
      <c r="AG11" s="766"/>
      <c r="AI11" s="237"/>
      <c r="AJ11" s="237"/>
    </row>
    <row r="12" spans="2:36" ht="15" customHeight="1" thickTop="1" thickBot="1" x14ac:dyDescent="0.3">
      <c r="B12" s="6" t="s">
        <v>26</v>
      </c>
      <c r="C12" s="800"/>
      <c r="D12" s="801"/>
      <c r="E12" s="801"/>
      <c r="F12" s="802"/>
      <c r="H12" s="1"/>
      <c r="I12" s="19" t="s">
        <v>14</v>
      </c>
      <c r="J12" s="189">
        <f>C12</f>
        <v>0</v>
      </c>
      <c r="K12" s="69">
        <f>U30</f>
        <v>116</v>
      </c>
      <c r="L12" s="72">
        <f t="shared" si="0"/>
        <v>0</v>
      </c>
      <c r="M12" s="11" t="str">
        <f>V30&amp;" lbs max  ("&amp;V34&amp;" max baggage 2+3)"</f>
        <v>80 lbs max  (80 max baggage 2+3)</v>
      </c>
      <c r="P12" s="362"/>
      <c r="Q12" s="375" t="str">
        <f t="shared" si="1"/>
        <v>Ln12</v>
      </c>
      <c r="R12" s="391"/>
      <c r="S12" s="400" t="s">
        <v>7</v>
      </c>
      <c r="T12" s="391"/>
      <c r="U12" s="391"/>
      <c r="V12" s="392"/>
      <c r="W12" s="393" t="s">
        <v>176</v>
      </c>
      <c r="X12" s="357"/>
      <c r="Y12" s="396" t="s">
        <v>56</v>
      </c>
      <c r="Z12" s="388">
        <v>2250</v>
      </c>
      <c r="AA12" s="766" t="s">
        <v>153</v>
      </c>
      <c r="AB12" s="766"/>
      <c r="AD12" s="357"/>
      <c r="AE12" s="623">
        <f>AE16</f>
        <v>33</v>
      </c>
      <c r="AF12" s="766" t="s">
        <v>153</v>
      </c>
      <c r="AG12" s="766"/>
      <c r="AI12" s="237"/>
      <c r="AJ12" s="237"/>
    </row>
    <row r="13" spans="2:36" ht="15" customHeight="1" thickTop="1" x14ac:dyDescent="0.25">
      <c r="B13" s="508" t="s">
        <v>70</v>
      </c>
      <c r="D13" s="821"/>
      <c r="E13" s="821"/>
      <c r="H13" s="1"/>
      <c r="I13" s="19" t="s">
        <v>17</v>
      </c>
      <c r="J13" s="189">
        <f>D13</f>
        <v>0</v>
      </c>
      <c r="K13" s="69">
        <f>U31</f>
        <v>129</v>
      </c>
      <c r="L13" s="72">
        <f t="shared" si="0"/>
        <v>0</v>
      </c>
      <c r="M13" s="513" t="str">
        <f>V31&amp;" Lbs Max (on shelf)"</f>
        <v>80 Lbs Max (on shelf)</v>
      </c>
      <c r="P13" s="362"/>
      <c r="Q13" s="375" t="str">
        <f t="shared" si="1"/>
        <v>Ln13</v>
      </c>
      <c r="R13" s="391"/>
      <c r="S13" s="400" t="s">
        <v>194</v>
      </c>
      <c r="T13" s="391"/>
      <c r="U13" s="391"/>
      <c r="V13" s="392"/>
      <c r="W13" s="393" t="s">
        <v>176</v>
      </c>
      <c r="X13" s="357"/>
      <c r="Y13" s="396" t="s">
        <v>57</v>
      </c>
      <c r="Z13" s="395"/>
      <c r="AC13" s="767" t="s">
        <v>157</v>
      </c>
      <c r="AD13" s="357"/>
      <c r="AH13" s="767" t="s">
        <v>167</v>
      </c>
      <c r="AI13" s="237"/>
      <c r="AJ13" s="237"/>
    </row>
    <row r="14" spans="2:36" ht="15" customHeight="1" thickBot="1" x14ac:dyDescent="0.35">
      <c r="B14" s="3"/>
      <c r="C14" s="235"/>
      <c r="D14" s="2"/>
      <c r="E14" s="2"/>
      <c r="F14" s="40" t="str">
        <f>IF(R20="err","","(Std Fueling "&amp;T19&amp;" gal ("&amp;T20&amp;"))")</f>
        <v>(Std Fueling 64 gal (TABS))</v>
      </c>
      <c r="H14" s="1"/>
      <c r="I14" s="15" t="s">
        <v>6</v>
      </c>
      <c r="J14" s="71">
        <f>SUM(J7:J13)</f>
        <v>2434.7199999999998</v>
      </c>
      <c r="K14" s="26"/>
      <c r="L14" s="70">
        <f>SUM(L7:L13)</f>
        <v>99.064510000000013</v>
      </c>
      <c r="M14" s="11" t="str">
        <f>"Max Ramp Weight: "&amp;TEXT(U9,"#,###")&amp;IF(U8&lt;&gt;U10," - Landing "&amp;TEXT(U10,"#,###"),"")</f>
        <v>Max Ramp Weight: 3,110 - Landing 2,950</v>
      </c>
      <c r="P14" s="362"/>
      <c r="Q14" s="375" t="str">
        <f t="shared" si="1"/>
        <v>Ln14</v>
      </c>
      <c r="R14" s="391"/>
      <c r="S14" s="400" t="s">
        <v>24</v>
      </c>
      <c r="T14" s="391"/>
      <c r="U14" s="391"/>
      <c r="V14" s="392"/>
      <c r="W14" s="393" t="s">
        <v>177</v>
      </c>
      <c r="X14" s="357"/>
      <c r="Y14" s="396" t="s">
        <v>156</v>
      </c>
      <c r="Z14" s="395"/>
      <c r="AC14" s="767"/>
      <c r="AD14" s="357"/>
      <c r="AH14" s="767"/>
      <c r="AI14" s="237"/>
      <c r="AJ14" s="237"/>
    </row>
    <row r="15" spans="2:36" ht="15" customHeight="1" thickTop="1" thickBot="1" x14ac:dyDescent="0.3">
      <c r="B15" s="32" t="s">
        <v>88</v>
      </c>
      <c r="C15" s="4"/>
      <c r="D15" s="793">
        <v>64</v>
      </c>
      <c r="E15" s="793"/>
      <c r="F15" s="5" t="s">
        <v>36</v>
      </c>
      <c r="H15" s="1"/>
      <c r="I15" s="16" t="s">
        <v>15</v>
      </c>
      <c r="J15" s="585">
        <f>V21</f>
        <v>-10</v>
      </c>
      <c r="K15" s="69">
        <f>U18</f>
        <v>46.5</v>
      </c>
      <c r="L15" s="72">
        <f>ROUND((J15*K15)/1000,5)</f>
        <v>-0.46500000000000002</v>
      </c>
      <c r="M15" s="11" t="s">
        <v>16</v>
      </c>
      <c r="P15" s="362"/>
      <c r="Q15" s="375" t="str">
        <f t="shared" si="1"/>
        <v>Ln15</v>
      </c>
      <c r="R15" s="391"/>
      <c r="S15" s="400" t="s">
        <v>193</v>
      </c>
      <c r="T15" s="391"/>
      <c r="U15" s="391"/>
      <c r="V15" s="392"/>
      <c r="W15" s="393" t="s">
        <v>177</v>
      </c>
      <c r="X15" s="357"/>
      <c r="Y15" s="396" t="s">
        <v>47</v>
      </c>
      <c r="Z15" s="388">
        <v>1800</v>
      </c>
      <c r="AC15" s="792"/>
      <c r="AD15" s="357"/>
      <c r="AH15" s="792"/>
      <c r="AI15" s="237"/>
      <c r="AJ15" s="237"/>
    </row>
    <row r="16" spans="2:36" ht="15" customHeight="1" thickTop="1" thickBot="1" x14ac:dyDescent="0.25">
      <c r="B16" s="32" t="s">
        <v>35</v>
      </c>
      <c r="C16" s="2"/>
      <c r="D16" s="794"/>
      <c r="E16" s="795"/>
      <c r="F16" s="5" t="s">
        <v>108</v>
      </c>
      <c r="H16" s="1"/>
      <c r="I16" s="17" t="s">
        <v>7</v>
      </c>
      <c r="J16" s="126">
        <f ca="1">IF(expired=TRUE,9999,SUM(J14:J15))</f>
        <v>2424.7199999999998</v>
      </c>
      <c r="K16" s="73" t="s">
        <v>5</v>
      </c>
      <c r="L16" s="74">
        <f>SUM(L14:L15)</f>
        <v>98.599510000000009</v>
      </c>
      <c r="M16" s="110" t="str">
        <f>"Max Gross: "&amp;TEXT(U8,"#,##0")&amp;"   Useful Load: "&amp;TEXT(U37,"#,##0")</f>
        <v>Max Gross: 3,100   Useful Load: 1,049</v>
      </c>
      <c r="P16" s="362"/>
      <c r="Q16" s="401"/>
      <c r="R16" s="401"/>
      <c r="S16" s="401"/>
      <c r="T16" s="401"/>
      <c r="U16" s="401"/>
      <c r="V16" s="401"/>
      <c r="W16" s="401"/>
      <c r="X16" s="357"/>
      <c r="Y16" s="402"/>
      <c r="Z16" s="395"/>
      <c r="AC16" s="403">
        <f>AC8</f>
        <v>3100</v>
      </c>
      <c r="AD16" s="357"/>
      <c r="AE16" s="404">
        <v>33</v>
      </c>
      <c r="AF16" s="82"/>
      <c r="AG16" s="82"/>
      <c r="AH16" s="405">
        <f>AH8</f>
        <v>46</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40.664287010458949</v>
      </c>
      <c r="L17" s="75" t="s">
        <v>5</v>
      </c>
      <c r="M17" s="12" t="s">
        <v>9</v>
      </c>
      <c r="P17" s="362"/>
      <c r="Q17" s="370" t="s">
        <v>158</v>
      </c>
      <c r="R17" s="371"/>
      <c r="S17" s="371"/>
      <c r="T17" s="406" t="s">
        <v>174</v>
      </c>
      <c r="U17" s="372" t="s">
        <v>2</v>
      </c>
      <c r="V17" s="372" t="s">
        <v>1</v>
      </c>
      <c r="W17" s="373" t="s">
        <v>179</v>
      </c>
      <c r="X17" s="357"/>
      <c r="Y17" s="407"/>
      <c r="Z17" s="408"/>
      <c r="AD17" s="357"/>
      <c r="AE17" s="409"/>
      <c r="AF17" s="797" t="s">
        <v>161</v>
      </c>
      <c r="AG17" s="797"/>
      <c r="AH17" s="410"/>
      <c r="AI17" s="237"/>
      <c r="AJ17" s="237"/>
    </row>
    <row r="18" spans="2:36" ht="15" customHeight="1" thickTop="1" thickBot="1" x14ac:dyDescent="0.25">
      <c r="B18" s="32" t="s">
        <v>139</v>
      </c>
      <c r="D18" s="798">
        <f>D16*D17</f>
        <v>0</v>
      </c>
      <c r="E18" s="799"/>
      <c r="F18" s="5" t="s">
        <v>36</v>
      </c>
      <c r="H18" s="1"/>
      <c r="I18" s="23" t="s">
        <v>23</v>
      </c>
      <c r="J18" s="25">
        <f>D18*6*-1</f>
        <v>0</v>
      </c>
      <c r="K18" s="25">
        <f>K8</f>
        <v>46.5</v>
      </c>
      <c r="L18" s="92">
        <f>ROUND((J18*K18)/1000,5)</f>
        <v>0</v>
      </c>
      <c r="M18" s="29" t="s">
        <v>73</v>
      </c>
      <c r="P18" s="362"/>
      <c r="Q18" s="375" t="str">
        <f t="shared" si="1"/>
        <v>Ln18</v>
      </c>
      <c r="R18" s="384" t="str">
        <f>IF(D15&gt;T18,"ERR","OK")</f>
        <v>OK</v>
      </c>
      <c r="S18" s="548" t="s">
        <v>239</v>
      </c>
      <c r="T18" s="411">
        <v>87</v>
      </c>
      <c r="U18" s="380">
        <v>46.5</v>
      </c>
      <c r="V18" s="412">
        <f>T18*6</f>
        <v>522</v>
      </c>
      <c r="W18" s="393" t="s">
        <v>176</v>
      </c>
      <c r="X18" s="357"/>
      <c r="Y18" s="357"/>
      <c r="Z18" s="357"/>
      <c r="AA18" s="357"/>
      <c r="AB18" s="357"/>
      <c r="AC18" s="357"/>
      <c r="AD18" s="357"/>
      <c r="AE18" s="357"/>
      <c r="AF18" s="357"/>
      <c r="AG18" s="357"/>
      <c r="AH18" s="35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587">
        <f ca="1">SUM(J16:J18)</f>
        <v>2424.7199999999998</v>
      </c>
      <c r="K19" s="93"/>
      <c r="L19" s="24">
        <f>SUM(L16:L18)</f>
        <v>98.599510000000009</v>
      </c>
      <c r="M19" s="29" t="str">
        <f>IF(U8=U10,"Landing Weight Limit same as Takeoff Weight","Max Landing Weight  "&amp;TEXT(U10,"#,##0"))</f>
        <v>Max Landing Weight  2,950</v>
      </c>
      <c r="P19" s="362"/>
      <c r="Q19" s="375" t="str">
        <f t="shared" si="1"/>
        <v>Ln19</v>
      </c>
      <c r="R19" s="391"/>
      <c r="S19" s="549" t="s">
        <v>240</v>
      </c>
      <c r="T19" s="411">
        <v>64</v>
      </c>
      <c r="U19" s="413"/>
      <c r="V19" s="412">
        <f>T19*6</f>
        <v>384</v>
      </c>
      <c r="W19" s="357"/>
      <c r="X19" s="357"/>
      <c r="Y19" s="357"/>
      <c r="Z19" s="357"/>
      <c r="AA19" s="414" t="str">
        <f ca="1">IF(AA20&gt;U8,"OUT","OK")</f>
        <v>OK</v>
      </c>
      <c r="AB19" s="415" t="s">
        <v>164</v>
      </c>
      <c r="AC19" s="357"/>
      <c r="AD19" s="357"/>
      <c r="AE19" s="414" t="str">
        <f ca="1">IF(AA19="out","out",IF(AND(AE20&gt;=AG20,AE20&lt;=AH20),"OK","OUT"))</f>
        <v>OK</v>
      </c>
      <c r="AF19" s="357"/>
      <c r="AG19" s="357"/>
      <c r="AH19" s="357"/>
      <c r="AI19" s="237"/>
      <c r="AJ19" s="237"/>
    </row>
    <row r="20" spans="2:36" ht="15" customHeight="1" thickTop="1" thickBot="1" x14ac:dyDescent="0.25">
      <c r="B20" s="135" t="s">
        <v>132</v>
      </c>
      <c r="I20" s="28" t="s">
        <v>8</v>
      </c>
      <c r="J20" s="94"/>
      <c r="K20" s="589">
        <f ca="1">(L19*1000)/J19</f>
        <v>40.664287010458949</v>
      </c>
      <c r="L20" s="588"/>
      <c r="M20" s="30" t="s">
        <v>65</v>
      </c>
      <c r="P20" s="362"/>
      <c r="Q20" s="375" t="str">
        <f t="shared" si="1"/>
        <v>Ln20</v>
      </c>
      <c r="R20" s="83" t="str">
        <f>IF(AND(T18=T19,LEFT(T20,1)="F"),"OK",IF(AND(T18&lt;&gt;T19,LEFT(T20,1)&lt;&gt;"F"),"OK","ERR"))</f>
        <v>OK</v>
      </c>
      <c r="S20" s="547" t="s">
        <v>188</v>
      </c>
      <c r="T20" s="546" t="s">
        <v>187</v>
      </c>
      <c r="U20" s="397" t="s">
        <v>190</v>
      </c>
      <c r="V20" s="412"/>
      <c r="W20" s="392"/>
      <c r="X20" s="357"/>
      <c r="Y20" s="416" t="s">
        <v>47</v>
      </c>
      <c r="Z20" s="417" t="s">
        <v>1</v>
      </c>
      <c r="AA20" s="418">
        <f ca="1">J16</f>
        <v>2424.7199999999998</v>
      </c>
      <c r="AB20" s="419"/>
      <c r="AC20" s="420"/>
      <c r="AD20" s="421" t="s">
        <v>40</v>
      </c>
      <c r="AE20" s="422">
        <f ca="1">K17</f>
        <v>40.664287010458949</v>
      </c>
      <c r="AF20" s="423" t="s">
        <v>61</v>
      </c>
      <c r="AG20" s="424">
        <f ca="1">VLOOKUP(AA20,Z23:AH26,8,TRUE)</f>
        <v>33.971443199999996</v>
      </c>
      <c r="AH20" s="425">
        <f ca="1">VLOOKUP(AA20,Z23:AH26,9,TRUE)</f>
        <v>46</v>
      </c>
      <c r="AI20" s="237"/>
      <c r="AJ20" s="237"/>
    </row>
    <row r="21" spans="2:36" ht="13.5" thickTop="1" x14ac:dyDescent="0.2">
      <c r="B21" s="770" t="str">
        <f ca="1">IF(R10&lt;&gt;"OK","Caution - Landing Weight",IF(R11&lt;&gt;"OK","Watch Early Landing Weight",""))</f>
        <v/>
      </c>
      <c r="C21" s="772" t="str">
        <f ca="1">IF(OR(AA19="out",AE19="out"),"CAUTION:   Wt or CG Out of Limits","")</f>
        <v/>
      </c>
      <c r="D21" s="772"/>
      <c r="E21" s="772"/>
      <c r="F21" s="773"/>
      <c r="P21" s="362"/>
      <c r="Q21" s="375" t="str">
        <f t="shared" si="1"/>
        <v>Ln21</v>
      </c>
      <c r="R21" s="391"/>
      <c r="S21" s="548" t="s">
        <v>191</v>
      </c>
      <c r="T21" s="411">
        <v>1.7</v>
      </c>
      <c r="U21" s="413"/>
      <c r="V21" s="412">
        <f>ROUND(T21*6,0)*-1</f>
        <v>-10</v>
      </c>
      <c r="W21" s="357"/>
      <c r="X21" s="357"/>
      <c r="Y21" s="426" t="s">
        <v>48</v>
      </c>
      <c r="Z21" s="427"/>
      <c r="AA21" s="428" t="s">
        <v>67</v>
      </c>
      <c r="AB21" s="429"/>
      <c r="AC21" s="430"/>
      <c r="AD21" s="427"/>
      <c r="AE21" s="431" t="s">
        <v>66</v>
      </c>
      <c r="AF21" s="427"/>
      <c r="AG21" s="432" t="s">
        <v>46</v>
      </c>
      <c r="AH21" s="433" t="s">
        <v>46</v>
      </c>
      <c r="AI21" s="237"/>
      <c r="AJ21" s="237"/>
    </row>
    <row r="22" spans="2:36" ht="13.5" thickBot="1" x14ac:dyDescent="0.25">
      <c r="B22" s="771"/>
      <c r="C22" s="774"/>
      <c r="D22" s="774"/>
      <c r="E22" s="774"/>
      <c r="F22" s="775"/>
      <c r="P22" s="358"/>
      <c r="Q22" s="357"/>
      <c r="R22" s="391"/>
      <c r="S22" s="550" t="s">
        <v>15</v>
      </c>
      <c r="T22" s="391"/>
      <c r="U22" s="392"/>
      <c r="V22" s="391"/>
      <c r="W22" s="393" t="s">
        <v>177</v>
      </c>
      <c r="X22" s="357"/>
      <c r="Y22" s="426" t="s">
        <v>49</v>
      </c>
      <c r="Z22" s="434" t="s">
        <v>41</v>
      </c>
      <c r="AA22" s="434" t="s">
        <v>42</v>
      </c>
      <c r="AB22" s="435" t="s">
        <v>43</v>
      </c>
      <c r="AC22" s="436" t="s">
        <v>41</v>
      </c>
      <c r="AD22" s="437" t="s">
        <v>42</v>
      </c>
      <c r="AE22" s="438" t="s">
        <v>44</v>
      </c>
      <c r="AF22" s="439" t="s">
        <v>45</v>
      </c>
      <c r="AG22" s="440" t="s">
        <v>68</v>
      </c>
      <c r="AH22" s="441" t="s">
        <v>69</v>
      </c>
      <c r="AI22" s="237"/>
      <c r="AJ22" s="237"/>
    </row>
    <row r="23" spans="2:36" ht="13.5" thickTop="1" x14ac:dyDescent="0.2">
      <c r="B23" s="34" t="str">
        <f>IF(AND(R52&lt;&gt;"OK",R48&lt;&gt;"OK"),"Enter Fuel on Board","")</f>
        <v/>
      </c>
      <c r="C23" s="776" t="str">
        <f>IF(R53&lt;&gt;"OK","Fuel &lt;1-HR Reserve","")</f>
        <v/>
      </c>
      <c r="D23" s="776"/>
      <c r="E23" s="776"/>
      <c r="F23" s="777"/>
      <c r="I23" s="10" t="s">
        <v>64</v>
      </c>
      <c r="P23" s="358"/>
      <c r="Q23" s="401"/>
      <c r="R23" s="391"/>
      <c r="S23" s="550" t="s">
        <v>23</v>
      </c>
      <c r="T23" s="391"/>
      <c r="U23" s="392"/>
      <c r="V23" s="391"/>
      <c r="W23" s="393" t="s">
        <v>177</v>
      </c>
      <c r="X23" s="357"/>
      <c r="Y23" s="426" t="s">
        <v>50</v>
      </c>
      <c r="Z23" s="442">
        <f>Z15</f>
        <v>1800</v>
      </c>
      <c r="AA23" s="443">
        <f>Z12</f>
        <v>2250</v>
      </c>
      <c r="AB23" s="444">
        <f>+AA23-Z23</f>
        <v>450</v>
      </c>
      <c r="AC23" s="445">
        <f>AE16</f>
        <v>33</v>
      </c>
      <c r="AD23" s="446">
        <f>AE12</f>
        <v>33</v>
      </c>
      <c r="AE23" s="447">
        <f>AD23-AC23</f>
        <v>0</v>
      </c>
      <c r="AF23" s="448">
        <f>IF(OR(AB23=0,AE23=0),0,ROUND(AE23/AB23,5))</f>
        <v>0</v>
      </c>
      <c r="AG23" s="449">
        <f ca="1">IF(AND(AA20&gt;=Z23,AA20&lt;AA23),AC23+((AA20-Z23)*AF23),AC23)</f>
        <v>33</v>
      </c>
      <c r="AH23" s="450">
        <f>AD26</f>
        <v>46</v>
      </c>
      <c r="AI23" s="237"/>
      <c r="AJ23" s="237"/>
    </row>
    <row r="24" spans="2:36" ht="12.75" customHeight="1" x14ac:dyDescent="0.2">
      <c r="B24" s="77" t="str">
        <f>IF(AND(R52&lt;&gt;"OK",R49&lt;&gt;"OK"),"Enter GPH Usage","")</f>
        <v/>
      </c>
      <c r="C24" s="778" t="str">
        <f>IF(OR(R18&lt;&gt;"OK",R51&lt;&gt;"OK"),"Fueling Error","")</f>
        <v/>
      </c>
      <c r="D24" s="778"/>
      <c r="E24" s="778"/>
      <c r="F24" s="779"/>
      <c r="I24" s="9" t="s">
        <v>62</v>
      </c>
      <c r="P24" s="358"/>
      <c r="Q24" s="401"/>
      <c r="R24" s="401"/>
      <c r="S24" s="401"/>
      <c r="T24" s="401"/>
      <c r="U24" s="401"/>
      <c r="V24" s="401"/>
      <c r="W24" s="401"/>
      <c r="X24" s="357"/>
      <c r="Y24" s="426" t="s">
        <v>51</v>
      </c>
      <c r="Z24" s="451">
        <f>AA23</f>
        <v>2250</v>
      </c>
      <c r="AA24" s="452">
        <f>Z10</f>
        <v>2700</v>
      </c>
      <c r="AB24" s="453">
        <f>+AA24-Z24</f>
        <v>450</v>
      </c>
      <c r="AC24" s="454">
        <f>IF(AD24=AD23,AC23,AD23)</f>
        <v>33</v>
      </c>
      <c r="AD24" s="455">
        <f>AE10</f>
        <v>35.5</v>
      </c>
      <c r="AE24" s="447">
        <f>AD24-AC24</f>
        <v>2.5</v>
      </c>
      <c r="AF24" s="448">
        <f>IF(OR(AB24=0,AE24=0),0,ROUND(AE24/AB24,5))</f>
        <v>5.5599999999999998E-3</v>
      </c>
      <c r="AG24" s="449">
        <f ca="1">IF(AND(AA20&gt;=Z24,AA20&lt;AA24),AC24+((AA20-Z24)*AF24),AC24)</f>
        <v>33.971443199999996</v>
      </c>
      <c r="AH24" s="213">
        <f>AH23</f>
        <v>46</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358"/>
      <c r="Q25" s="370" t="s">
        <v>159</v>
      </c>
      <c r="R25" s="371"/>
      <c r="S25" s="371"/>
      <c r="T25" s="371"/>
      <c r="U25" s="372" t="s">
        <v>2</v>
      </c>
      <c r="V25" s="372" t="s">
        <v>1</v>
      </c>
      <c r="W25" s="373" t="s">
        <v>179</v>
      </c>
      <c r="X25" s="357"/>
      <c r="Y25" s="426" t="s">
        <v>52</v>
      </c>
      <c r="Z25" s="451">
        <f>AA24</f>
        <v>2700</v>
      </c>
      <c r="AA25" s="452">
        <f>AA8</f>
        <v>3100</v>
      </c>
      <c r="AB25" s="453">
        <f>+AA25-Z25</f>
        <v>400</v>
      </c>
      <c r="AC25" s="454">
        <f>IF(AD25=AD24,AC24,AD24)</f>
        <v>35.5</v>
      </c>
      <c r="AD25" s="455">
        <f>AF8</f>
        <v>40.9</v>
      </c>
      <c r="AE25" s="447">
        <f>AD25-AC25</f>
        <v>5.3999999999999986</v>
      </c>
      <c r="AF25" s="448">
        <f>IF(OR(AB25=0,AE25=0),0,ROUND(AE25/AB25,5))</f>
        <v>1.35E-2</v>
      </c>
      <c r="AG25" s="449">
        <f ca="1">IF(AND(AA20&gt;=Z25,AA20&lt;AA25),AC25+((AA20-Z25)*AF25),AC25)</f>
        <v>35.5</v>
      </c>
      <c r="AH25" s="213">
        <f>AH24</f>
        <v>46</v>
      </c>
      <c r="AI25" s="237"/>
      <c r="AJ25" s="237"/>
    </row>
    <row r="26" spans="2:36" ht="13.5" thickTop="1" x14ac:dyDescent="0.2">
      <c r="I26" s="8" t="str">
        <f>"R Front:  "&amp;IF(E7=0,"---",E7&amp;"#")</f>
        <v>R Front:  ---</v>
      </c>
      <c r="P26" s="358"/>
      <c r="Q26" s="375" t="str">
        <f t="shared" si="1"/>
        <v>Ln26</v>
      </c>
      <c r="R26" s="391"/>
      <c r="S26" s="456" t="s">
        <v>11</v>
      </c>
      <c r="T26" s="378"/>
      <c r="U26" s="380">
        <v>37</v>
      </c>
      <c r="V26" s="412">
        <f>C7+E7</f>
        <v>0</v>
      </c>
      <c r="W26" s="457"/>
      <c r="X26" s="357"/>
      <c r="Y26" s="458" t="s">
        <v>52</v>
      </c>
      <c r="Z26" s="459">
        <f>AA25</f>
        <v>3100</v>
      </c>
      <c r="AA26" s="460">
        <f>AC8</f>
        <v>3100</v>
      </c>
      <c r="AB26" s="461">
        <f>+AA26-Z26</f>
        <v>0</v>
      </c>
      <c r="AC26" s="462">
        <f>IF(AD26=AD25,AC25,AD25)</f>
        <v>40.9</v>
      </c>
      <c r="AD26" s="463">
        <f>AH8</f>
        <v>46</v>
      </c>
      <c r="AE26" s="464">
        <f>AD26-AC26</f>
        <v>5.1000000000000014</v>
      </c>
      <c r="AF26" s="465">
        <f>IF(OR(AB26=0,AE26=0),0,ROUND(AE26/AB26,5))</f>
        <v>0</v>
      </c>
      <c r="AG26" s="466">
        <f ca="1">IF(AND(AA20&gt;=Z26,AA20&lt;AA26),AC26+((AA20-Z26)*AF26),AC26)</f>
        <v>40.9</v>
      </c>
      <c r="AH26" s="217">
        <f>AH25</f>
        <v>46</v>
      </c>
      <c r="AI26" s="237"/>
      <c r="AJ26" s="237"/>
    </row>
    <row r="27" spans="2:36" ht="12.75" customHeight="1" x14ac:dyDescent="0.2">
      <c r="B27" s="60" t="s">
        <v>79</v>
      </c>
      <c r="H27" s="1"/>
      <c r="I27" s="8" t="str">
        <f>"L  Rear:  "&amp;IF(C9=0,"---",C9&amp;"#")</f>
        <v>L  Rear:  ---</v>
      </c>
      <c r="P27" s="358"/>
      <c r="Q27" s="375" t="str">
        <f t="shared" si="1"/>
        <v>Ln27</v>
      </c>
      <c r="R27" s="391"/>
      <c r="S27" s="456" t="s">
        <v>12</v>
      </c>
      <c r="T27" s="378"/>
      <c r="U27" s="380">
        <v>74</v>
      </c>
      <c r="V27" s="412">
        <f>C9+E9</f>
        <v>0</v>
      </c>
      <c r="W27" s="457"/>
      <c r="X27" s="357"/>
      <c r="Y27" s="357"/>
      <c r="Z27" s="357"/>
      <c r="AA27" s="357"/>
      <c r="AB27" s="357"/>
      <c r="AC27" s="357"/>
      <c r="AD27" s="357"/>
      <c r="AE27" s="357"/>
      <c r="AF27" s="357"/>
      <c r="AG27" s="357"/>
      <c r="AH27" s="357"/>
      <c r="AI27" s="237"/>
      <c r="AJ27" s="237"/>
    </row>
    <row r="28" spans="2:36" ht="13.5" thickBot="1" x14ac:dyDescent="0.25">
      <c r="B28" s="22" t="s">
        <v>127</v>
      </c>
      <c r="D28" s="782">
        <f>U37+(J15*-1)</f>
        <v>1059</v>
      </c>
      <c r="E28" s="783"/>
      <c r="F28" s="784" t="str">
        <f>"( "&amp;TEXT(U37,"#,##0")&amp;"+"&amp;J15*-1&amp;" )"</f>
        <v>( 1,049+10 )</v>
      </c>
      <c r="G28" s="785"/>
      <c r="H28" s="785"/>
      <c r="I28" s="8" t="str">
        <f>"R  Rear:  "&amp;IF(E9=0,"---",E9&amp;"#")</f>
        <v>R  Rear:  ---</v>
      </c>
      <c r="P28" s="358"/>
      <c r="Q28" s="357"/>
      <c r="R28" s="357"/>
      <c r="S28" s="357"/>
      <c r="T28" s="357"/>
      <c r="U28" s="413"/>
      <c r="V28" s="413"/>
      <c r="W28" s="357"/>
      <c r="X28" s="357"/>
      <c r="Y28" s="357"/>
      <c r="Z28" s="357"/>
      <c r="AA28" s="357"/>
      <c r="AB28" s="357"/>
      <c r="AC28" s="357"/>
      <c r="AD28" s="357"/>
      <c r="AE28" s="357"/>
      <c r="AF28" s="357"/>
      <c r="AG28" s="357"/>
      <c r="AH28" s="357"/>
      <c r="AI28" s="237"/>
      <c r="AJ28" s="237"/>
    </row>
    <row r="29" spans="2:36" ht="13.5" thickBot="1" x14ac:dyDescent="0.25">
      <c r="B29" s="22" t="s">
        <v>126</v>
      </c>
      <c r="D29" s="786">
        <f>SUM(J8:J13)</f>
        <v>384</v>
      </c>
      <c r="E29" s="787"/>
      <c r="I29" s="8" t="str">
        <f>"Bag 1:  "&amp;IF(C11=0,"---",C11&amp;"#")</f>
        <v>Bag 1:  ---</v>
      </c>
      <c r="P29" s="358"/>
      <c r="Q29" s="375" t="str">
        <f t="shared" si="1"/>
        <v>Ln29</v>
      </c>
      <c r="R29" s="467" t="str">
        <f>IF(C11&gt;V29,"ERR","OK")</f>
        <v>OK</v>
      </c>
      <c r="S29" s="456" t="s">
        <v>25</v>
      </c>
      <c r="T29" s="512">
        <f>C11</f>
        <v>0</v>
      </c>
      <c r="U29" s="380">
        <v>97</v>
      </c>
      <c r="V29" s="468">
        <v>120</v>
      </c>
      <c r="W29" s="393" t="s">
        <v>176</v>
      </c>
      <c r="X29" s="357"/>
      <c r="Y29" s="357"/>
      <c r="Z29" s="357"/>
      <c r="AA29" s="357"/>
      <c r="AB29" s="357"/>
      <c r="AC29" s="357"/>
      <c r="AD29" s="357"/>
      <c r="AE29" s="357"/>
      <c r="AF29" s="357"/>
      <c r="AG29" s="357"/>
      <c r="AH29" s="357"/>
      <c r="AI29" s="237"/>
      <c r="AJ29" s="237"/>
    </row>
    <row r="30" spans="2:36" ht="15.75" x14ac:dyDescent="0.3">
      <c r="B30" s="22" t="str">
        <f>IF(D29&lt;=D28,"Lbs before overweight","OVERWEIGHT")</f>
        <v>Lbs before overweight</v>
      </c>
      <c r="D30" s="788">
        <f>ABS(D28-D29)</f>
        <v>675</v>
      </c>
      <c r="E30" s="789"/>
      <c r="F30" s="790" t="str">
        <f>IF(D29&gt;D28,"# Over","")</f>
        <v/>
      </c>
      <c r="G30" s="791"/>
      <c r="H30" s="791"/>
      <c r="I30" s="8" t="str">
        <f>"Bag 2:  "&amp;IF(C12=0,"---",C12&amp;"#")</f>
        <v>Bag 2:  ---</v>
      </c>
      <c r="P30" s="358"/>
      <c r="Q30" s="375" t="str">
        <f t="shared" si="1"/>
        <v>Ln30</v>
      </c>
      <c r="R30" s="467" t="str">
        <f>IF(C12&gt;V30,"ERR","OK")</f>
        <v>OK</v>
      </c>
      <c r="S30" s="456" t="s">
        <v>26</v>
      </c>
      <c r="T30" s="512">
        <f>C12</f>
        <v>0</v>
      </c>
      <c r="U30" s="380">
        <v>116</v>
      </c>
      <c r="V30" s="468">
        <v>80</v>
      </c>
      <c r="W30" s="393" t="s">
        <v>176</v>
      </c>
      <c r="X30" s="357"/>
      <c r="Y30" s="357"/>
      <c r="Z30" s="472"/>
      <c r="AA30" s="473"/>
      <c r="AB30" s="474" t="s">
        <v>165</v>
      </c>
      <c r="AC30" s="371"/>
      <c r="AD30" s="371"/>
      <c r="AE30" s="371"/>
      <c r="AF30" s="371"/>
      <c r="AG30" s="371"/>
      <c r="AH30" s="357"/>
      <c r="AI30" s="237"/>
      <c r="AJ30" s="237"/>
    </row>
    <row r="31" spans="2:36" ht="15.75" thickBot="1" x14ac:dyDescent="0.3">
      <c r="P31" s="358"/>
      <c r="Q31" s="375" t="str">
        <f t="shared" si="1"/>
        <v>Ln31</v>
      </c>
      <c r="R31" s="511" t="str">
        <f>IF(D13&gt;V31,"ERR","OK")</f>
        <v>OK</v>
      </c>
      <c r="S31" s="509" t="s">
        <v>28</v>
      </c>
      <c r="T31" s="512">
        <f>D13</f>
        <v>0</v>
      </c>
      <c r="U31" s="380">
        <v>129</v>
      </c>
      <c r="V31" s="468">
        <v>80</v>
      </c>
      <c r="W31" s="393" t="s">
        <v>176</v>
      </c>
      <c r="X31" s="357"/>
      <c r="Y31" s="357"/>
      <c r="Z31" s="357"/>
      <c r="AA31" s="357"/>
      <c r="AB31" s="357"/>
      <c r="AC31" s="382" t="s">
        <v>162</v>
      </c>
      <c r="AD31" s="357"/>
      <c r="AE31" s="357"/>
      <c r="AF31" s="357"/>
      <c r="AG31" s="473"/>
      <c r="AH31" s="357"/>
      <c r="AI31" s="237"/>
      <c r="AJ31" s="237"/>
    </row>
    <row r="32" spans="2:36" ht="13.5" thickTop="1" x14ac:dyDescent="0.2">
      <c r="I32" s="8"/>
      <c r="P32" s="358"/>
      <c r="Q32" s="375" t="str">
        <f t="shared" si="1"/>
        <v>Ln32</v>
      </c>
      <c r="R32" s="511" t="str">
        <f>IF(C11+C12+D13&gt;V32,"ERR","OK")</f>
        <v>OK</v>
      </c>
      <c r="S32" s="510" t="s">
        <v>29</v>
      </c>
      <c r="T32" s="512">
        <f>SUM(C11,C12,D13)</f>
        <v>0</v>
      </c>
      <c r="U32" s="471"/>
      <c r="V32" s="468">
        <v>200</v>
      </c>
      <c r="W32" s="357"/>
      <c r="X32" s="357"/>
      <c r="Y32" s="476"/>
      <c r="Z32" s="477"/>
      <c r="AA32" s="478">
        <v>2950</v>
      </c>
      <c r="AC32" s="403">
        <f>AA32</f>
        <v>2950</v>
      </c>
      <c r="AD32" s="357"/>
      <c r="AF32" s="479">
        <v>39</v>
      </c>
      <c r="AH32" s="390">
        <v>46</v>
      </c>
      <c r="AI32" s="237"/>
      <c r="AJ32" s="237"/>
    </row>
    <row r="33" spans="8:36" x14ac:dyDescent="0.2">
      <c r="I33" s="9" t="s">
        <v>63</v>
      </c>
      <c r="P33" s="358"/>
      <c r="Q33" s="375" t="str">
        <f t="shared" si="1"/>
        <v>Ln33</v>
      </c>
      <c r="R33" s="511" t="str">
        <f>IF(C11+C12&gt;V33,"ERR","OK")</f>
        <v>OK</v>
      </c>
      <c r="S33" s="470" t="s">
        <v>30</v>
      </c>
      <c r="T33" s="512"/>
      <c r="U33" s="471"/>
      <c r="V33" s="468">
        <v>200</v>
      </c>
      <c r="W33" s="357"/>
      <c r="X33" s="357"/>
      <c r="Y33" s="480"/>
      <c r="Z33" s="82"/>
      <c r="AD33" s="357"/>
      <c r="AI33" s="237"/>
      <c r="AJ33" s="237"/>
    </row>
    <row r="34" spans="8:36" ht="13.5" x14ac:dyDescent="0.25">
      <c r="I34" s="10" t="str">
        <f>"Start:  "&amp;TEXT(D15,("###.0"))&amp;" USG"</f>
        <v>Start:  64.0 USG</v>
      </c>
      <c r="P34" s="358"/>
      <c r="Q34" s="375" t="str">
        <f t="shared" si="1"/>
        <v>Ln34</v>
      </c>
      <c r="R34" s="511" t="str">
        <f>IF(C12+D13&gt;V34,"ERR","OK")</f>
        <v>OK</v>
      </c>
      <c r="S34" s="510" t="s">
        <v>71</v>
      </c>
      <c r="T34" s="512"/>
      <c r="U34" s="471"/>
      <c r="V34" s="468">
        <v>80</v>
      </c>
      <c r="W34" s="357"/>
      <c r="X34" s="357"/>
      <c r="Y34" s="481" t="s">
        <v>155</v>
      </c>
      <c r="Z34" s="478">
        <v>2700</v>
      </c>
      <c r="AD34" s="357"/>
      <c r="AE34" s="483">
        <v>35.700000000000003</v>
      </c>
      <c r="AI34" s="237"/>
      <c r="AJ34" s="237"/>
    </row>
    <row r="35" spans="8:36" ht="13.5" x14ac:dyDescent="0.25">
      <c r="I35" s="10" t="str">
        <f>"Used:    "&amp;TEXT(D18,("###.0"))&amp;" USG"</f>
        <v>Used:    .0 USG</v>
      </c>
      <c r="P35" s="358"/>
      <c r="Q35" s="357"/>
      <c r="R35" s="357"/>
      <c r="S35" s="357"/>
      <c r="T35" s="357"/>
      <c r="U35" s="357"/>
      <c r="V35" s="357"/>
      <c r="W35" s="357"/>
      <c r="X35" s="357"/>
      <c r="Y35" s="481" t="s">
        <v>50</v>
      </c>
      <c r="Z35" s="82"/>
      <c r="AA35" s="766" t="s">
        <v>1</v>
      </c>
      <c r="AB35" s="766"/>
      <c r="AD35" s="357"/>
      <c r="AF35" s="766" t="s">
        <v>154</v>
      </c>
      <c r="AG35" s="766"/>
      <c r="AI35" s="237"/>
      <c r="AJ35" s="237"/>
    </row>
    <row r="36" spans="8:36" ht="13.5" x14ac:dyDescent="0.25">
      <c r="I36" s="10" t="str">
        <f>"Reserve:  "&amp;TEXT(D15-D18,"###.0")&amp;" USG"</f>
        <v>Reserve:  64.0 USG</v>
      </c>
      <c r="P36" s="358"/>
      <c r="Q36" s="370" t="s">
        <v>160</v>
      </c>
      <c r="R36" s="371"/>
      <c r="S36" s="371"/>
      <c r="T36" s="371"/>
      <c r="U36" s="482" t="s">
        <v>1</v>
      </c>
      <c r="V36" s="357"/>
      <c r="W36" s="357"/>
      <c r="X36" s="357"/>
      <c r="Y36" s="481" t="s">
        <v>56</v>
      </c>
      <c r="Z36" s="478">
        <v>2250</v>
      </c>
      <c r="AA36" s="766" t="s">
        <v>153</v>
      </c>
      <c r="AB36" s="766"/>
      <c r="AD36" s="357"/>
      <c r="AE36" s="628">
        <f>AE40</f>
        <v>33</v>
      </c>
      <c r="AF36" s="766" t="s">
        <v>153</v>
      </c>
      <c r="AG36" s="766"/>
      <c r="AI36" s="237"/>
      <c r="AJ36" s="237"/>
    </row>
    <row r="37" spans="8:36" ht="13.5" x14ac:dyDescent="0.25">
      <c r="P37" s="358"/>
      <c r="Q37" s="375" t="str">
        <f t="shared" ref="Q37:Q39" si="2">"Ln"&amp;ROW()</f>
        <v>Ln37</v>
      </c>
      <c r="R37" s="484"/>
      <c r="S37" s="400" t="s">
        <v>77</v>
      </c>
      <c r="T37" s="485"/>
      <c r="U37" s="486">
        <f>ROUNDDOWN(U8-U7,0)</f>
        <v>1049</v>
      </c>
      <c r="V37" s="357"/>
      <c r="W37" s="357"/>
      <c r="X37" s="357"/>
      <c r="Y37" s="481" t="s">
        <v>57</v>
      </c>
      <c r="Z37" s="82"/>
      <c r="AC37" s="767" t="s">
        <v>157</v>
      </c>
      <c r="AD37" s="357"/>
      <c r="AH37" s="767" t="s">
        <v>157</v>
      </c>
      <c r="AI37" s="237"/>
      <c r="AJ37" s="237"/>
    </row>
    <row r="38" spans="8:36" ht="13.5" x14ac:dyDescent="0.25">
      <c r="I38" s="9" t="s">
        <v>72</v>
      </c>
      <c r="P38" s="358"/>
      <c r="Q38" s="375" t="str">
        <f t="shared" si="2"/>
        <v>Ln38</v>
      </c>
      <c r="R38" s="484"/>
      <c r="S38" s="400" t="s">
        <v>76</v>
      </c>
      <c r="T38" s="485"/>
      <c r="U38" s="486">
        <f>IF(T19=0,"",U37-V19)</f>
        <v>665</v>
      </c>
      <c r="V38" s="357"/>
      <c r="W38" s="357"/>
      <c r="X38" s="357"/>
      <c r="Y38" s="481" t="s">
        <v>156</v>
      </c>
      <c r="Z38" s="82"/>
      <c r="AC38" s="767"/>
      <c r="AD38" s="357"/>
      <c r="AH38" s="767"/>
      <c r="AI38" s="237"/>
      <c r="AJ38" s="237"/>
    </row>
    <row r="39" spans="8:36" ht="13.5" x14ac:dyDescent="0.25">
      <c r="H39" s="7"/>
      <c r="I39" s="63" t="str">
        <f>IF(T42="","","Max Flight (NO Res)")</f>
        <v/>
      </c>
      <c r="P39" s="358"/>
      <c r="Q39" s="375" t="str">
        <f t="shared" si="2"/>
        <v>Ln39</v>
      </c>
      <c r="R39" s="484"/>
      <c r="S39" s="400" t="s">
        <v>78</v>
      </c>
      <c r="T39" s="487"/>
      <c r="U39" s="486">
        <f>U37-V18</f>
        <v>527</v>
      </c>
      <c r="V39" s="357"/>
      <c r="W39" s="357"/>
      <c r="X39" s="357"/>
      <c r="Y39" s="481" t="s">
        <v>47</v>
      </c>
      <c r="Z39" s="82"/>
      <c r="AC39" s="768"/>
      <c r="AD39" s="357"/>
      <c r="AH39" s="768"/>
      <c r="AI39" s="237"/>
      <c r="AJ39" s="237"/>
    </row>
    <row r="40" spans="8:36" x14ac:dyDescent="0.2">
      <c r="H40" s="7"/>
      <c r="I40" s="21" t="str">
        <f>IF(T42="","","~"&amp;TEXT(T42,("##.0"))&amp;" hrs")</f>
        <v/>
      </c>
      <c r="P40" s="358"/>
      <c r="Q40" s="357"/>
      <c r="R40" s="357"/>
      <c r="S40" s="357"/>
      <c r="T40" s="413"/>
      <c r="U40" s="413"/>
      <c r="V40" s="357"/>
      <c r="W40" s="357"/>
      <c r="X40" s="357"/>
      <c r="Y40" s="480"/>
      <c r="Z40" s="478">
        <v>1800</v>
      </c>
      <c r="AC40" s="403">
        <f>AC32</f>
        <v>2950</v>
      </c>
      <c r="AD40" s="357"/>
      <c r="AE40" s="489">
        <v>33</v>
      </c>
      <c r="AF40" s="82"/>
      <c r="AG40" s="82"/>
      <c r="AH40" s="490">
        <f>AH32</f>
        <v>46</v>
      </c>
      <c r="AI40" s="242"/>
      <c r="AJ40" s="237"/>
    </row>
    <row r="41" spans="8:36" ht="14.25" thickBot="1" x14ac:dyDescent="0.3">
      <c r="I41" s="61" t="str">
        <f>IF(T42="","","@ "&amp;TEXT(D16,"##.0")&amp;" GPH")</f>
        <v/>
      </c>
      <c r="P41" s="358"/>
      <c r="Q41" s="370" t="s">
        <v>119</v>
      </c>
      <c r="R41" s="371"/>
      <c r="S41" s="482"/>
      <c r="T41" s="488" t="s">
        <v>121</v>
      </c>
      <c r="U41" s="413"/>
      <c r="V41" s="357"/>
      <c r="W41" s="357"/>
      <c r="X41" s="357"/>
      <c r="Y41" s="494"/>
      <c r="Z41" s="495"/>
      <c r="AD41" s="357"/>
      <c r="AE41" s="496"/>
      <c r="AF41" s="769" t="s">
        <v>161</v>
      </c>
      <c r="AG41" s="769"/>
      <c r="AH41" s="497"/>
      <c r="AI41" s="237"/>
      <c r="AJ41" s="237"/>
    </row>
    <row r="42" spans="8:36" ht="13.5" thickTop="1" x14ac:dyDescent="0.2">
      <c r="I42" s="65" t="str">
        <f>IF(R52&lt;&gt;"OK","","  At end of ")</f>
        <v/>
      </c>
      <c r="P42" s="358"/>
      <c r="Q42" s="375" t="str">
        <f t="shared" ref="Q42:Q43" si="3">"Ln"&amp;ROW()</f>
        <v>Ln42</v>
      </c>
      <c r="R42" s="491" t="s">
        <v>91</v>
      </c>
      <c r="S42" s="492"/>
      <c r="T42" s="493" t="str">
        <f>IF(AND(D15&gt;0,D18&gt;0),ROUND(D15/D16,3),"")</f>
        <v/>
      </c>
      <c r="U42" s="413"/>
      <c r="V42" s="357"/>
      <c r="W42" s="357"/>
      <c r="X42" s="357"/>
      <c r="Y42" s="357"/>
      <c r="Z42" s="357"/>
      <c r="AA42" s="357"/>
      <c r="AB42" s="357"/>
      <c r="AC42" s="357"/>
      <c r="AD42" s="357"/>
      <c r="AE42" s="357"/>
      <c r="AF42" s="357"/>
      <c r="AG42" s="357"/>
      <c r="AH42" s="357"/>
      <c r="AI42" s="237"/>
      <c r="AJ42" s="237"/>
    </row>
    <row r="43" spans="8:36" ht="13.5" thickBot="1" x14ac:dyDescent="0.25">
      <c r="I43" s="66" t="str">
        <f>IF(R52&lt;&gt;"OK","",TEXT(D17,"##.0")&amp;" Hr Trip . . ")</f>
        <v/>
      </c>
      <c r="P43" s="358"/>
      <c r="Q43" s="375" t="str">
        <f t="shared" si="3"/>
        <v>Ln43</v>
      </c>
      <c r="R43" s="491" t="s">
        <v>95</v>
      </c>
      <c r="S43" s="492"/>
      <c r="T43" s="493" t="str">
        <f>IF(AND(D15&gt;0,D16&gt;0,D18&gt;0),ROUND((D15-D18)/D16,3),"")</f>
        <v/>
      </c>
      <c r="U43" s="413"/>
      <c r="V43" s="357"/>
      <c r="W43" s="357"/>
      <c r="X43" s="357"/>
      <c r="Y43" s="357"/>
      <c r="Z43" s="357"/>
      <c r="AA43" s="498" t="str">
        <f ca="1">IF(U8=U10,"OK",IF(AA44&gt;U10,"OUT","OK"))</f>
        <v>OK</v>
      </c>
      <c r="AB43" s="415" t="s">
        <v>164</v>
      </c>
      <c r="AC43" s="357"/>
      <c r="AD43" s="357"/>
      <c r="AE43" s="498" t="str">
        <f ca="1">IF(U8=U10,"OK",IF(AND(AE44&gt;=AG44,AE44&lt;=AH44),"OK","OUT"))</f>
        <v>OK</v>
      </c>
      <c r="AF43" s="357"/>
      <c r="AG43" s="357"/>
      <c r="AH43" s="357"/>
      <c r="AI43" s="237"/>
      <c r="AJ43" s="237"/>
    </row>
    <row r="44" spans="8:36" ht="14.25" thickTop="1" thickBot="1" x14ac:dyDescent="0.25">
      <c r="I44" s="62" t="str">
        <f>IF(R52&lt;&gt;"OK","","Reserve is ~ "&amp;TEXT(T43,"##.0")&amp;" Hrs")</f>
        <v/>
      </c>
      <c r="P44" s="358"/>
      <c r="Q44" s="357"/>
      <c r="R44" s="357"/>
      <c r="S44" s="357"/>
      <c r="T44" s="357"/>
      <c r="U44" s="357"/>
      <c r="V44" s="357"/>
      <c r="W44" s="357"/>
      <c r="X44" s="357"/>
      <c r="Y44" s="416" t="s">
        <v>53</v>
      </c>
      <c r="Z44" s="417" t="s">
        <v>1</v>
      </c>
      <c r="AA44" s="499">
        <f ca="1">J19</f>
        <v>2424.7199999999998</v>
      </c>
      <c r="AB44" s="419"/>
      <c r="AC44" s="420"/>
      <c r="AD44" s="500" t="s">
        <v>40</v>
      </c>
      <c r="AE44" s="499">
        <f ca="1">K20</f>
        <v>40.664287010458949</v>
      </c>
      <c r="AF44" s="423" t="s">
        <v>61</v>
      </c>
      <c r="AG44" s="501">
        <f ca="1">VLOOKUP(AA44,Z47:AH50,8)</f>
        <v>34.048319999999997</v>
      </c>
      <c r="AH44" s="502">
        <f ca="1">VLOOKUP(AA44,Z47:AH50,9)</f>
        <v>46</v>
      </c>
      <c r="AI44" s="237"/>
      <c r="AJ44" s="237"/>
    </row>
    <row r="45" spans="8:36" ht="13.5" thickTop="1" x14ac:dyDescent="0.2">
      <c r="I45" s="64" t="str">
        <f>IF(R52&lt;&gt;"OK","",IF(R53&lt;&gt;"OK","Caution: &lt; 1 HR",""))</f>
        <v/>
      </c>
      <c r="P45" s="358"/>
      <c r="Q45" s="370" t="s">
        <v>175</v>
      </c>
      <c r="R45" s="371"/>
      <c r="S45" s="482"/>
      <c r="T45" s="482"/>
      <c r="U45" s="357"/>
      <c r="V45" s="357"/>
      <c r="W45" s="357"/>
      <c r="X45" s="357"/>
      <c r="Y45" s="426" t="s">
        <v>48</v>
      </c>
      <c r="Z45" s="427"/>
      <c r="AA45" s="428" t="s">
        <v>67</v>
      </c>
      <c r="AB45" s="429"/>
      <c r="AC45" s="430"/>
      <c r="AD45" s="427"/>
      <c r="AE45" s="431" t="s">
        <v>66</v>
      </c>
      <c r="AF45" s="427"/>
      <c r="AG45" s="432" t="s">
        <v>46</v>
      </c>
      <c r="AH45" s="433" t="s">
        <v>46</v>
      </c>
      <c r="AI45" s="237"/>
      <c r="AJ45" s="237"/>
    </row>
    <row r="46" spans="8:36" ht="13.5" thickBot="1" x14ac:dyDescent="0.25">
      <c r="P46" s="358"/>
      <c r="Q46" s="375" t="str">
        <f t="shared" ref="Q46:Q53" si="4">"Ln"&amp;ROW()</f>
        <v>Ln46</v>
      </c>
      <c r="R46" s="503" t="str">
        <f>IF(AND(C7="",(E7+C9+E9)&gt;0),"WARN","OK")</f>
        <v>OK</v>
      </c>
      <c r="S46" s="504" t="s">
        <v>89</v>
      </c>
      <c r="T46" s="505"/>
      <c r="U46" s="357"/>
      <c r="V46" s="357"/>
      <c r="W46" s="357"/>
      <c r="X46" s="357"/>
      <c r="Y46" s="426" t="s">
        <v>54</v>
      </c>
      <c r="Z46" s="434" t="s">
        <v>41</v>
      </c>
      <c r="AA46" s="434" t="s">
        <v>42</v>
      </c>
      <c r="AB46" s="435" t="s">
        <v>43</v>
      </c>
      <c r="AC46" s="436" t="s">
        <v>41</v>
      </c>
      <c r="AD46" s="437" t="s">
        <v>42</v>
      </c>
      <c r="AE46" s="438" t="s">
        <v>44</v>
      </c>
      <c r="AF46" s="439" t="s">
        <v>45</v>
      </c>
      <c r="AG46" s="440" t="s">
        <v>68</v>
      </c>
      <c r="AH46" s="441" t="s">
        <v>69</v>
      </c>
      <c r="AI46" s="237"/>
      <c r="AJ46" s="237"/>
    </row>
    <row r="47" spans="8:36" ht="13.5" thickTop="1" x14ac:dyDescent="0.2">
      <c r="P47" s="358"/>
      <c r="Q47" s="375" t="str">
        <f t="shared" si="4"/>
        <v>Ln47</v>
      </c>
      <c r="R47" s="503" t="str">
        <f>IF(C7+E7+C9+E9&gt;0,"INFO","OK")</f>
        <v>OK</v>
      </c>
      <c r="S47" s="504" t="s">
        <v>92</v>
      </c>
      <c r="T47" s="505"/>
      <c r="U47" s="357"/>
      <c r="V47" s="357"/>
      <c r="W47" s="357"/>
      <c r="X47" s="357"/>
      <c r="Y47" s="426" t="s">
        <v>55</v>
      </c>
      <c r="Z47" s="442">
        <f>Z40</f>
        <v>1800</v>
      </c>
      <c r="AA47" s="443">
        <f>Z36</f>
        <v>2250</v>
      </c>
      <c r="AB47" s="444">
        <f>+AA47-Z47</f>
        <v>450</v>
      </c>
      <c r="AC47" s="445">
        <f>AE40</f>
        <v>33</v>
      </c>
      <c r="AD47" s="446">
        <f>AE36</f>
        <v>33</v>
      </c>
      <c r="AE47" s="447">
        <f>AD47-AC47</f>
        <v>0</v>
      </c>
      <c r="AF47" s="448">
        <f>IF(OR(AB47=0,AE47=0),0,ROUND(AE47/AB47,5))</f>
        <v>0</v>
      </c>
      <c r="AG47" s="449">
        <f ca="1">IF(AND(AA44&gt;=Z47,AA44&lt;AA47),AC47+((AA44-Z47)*AF47),AC47)</f>
        <v>33</v>
      </c>
      <c r="AH47" s="450">
        <f>AD50</f>
        <v>46</v>
      </c>
      <c r="AI47" s="237"/>
      <c r="AJ47" s="237"/>
    </row>
    <row r="48" spans="8:36" x14ac:dyDescent="0.2">
      <c r="P48" s="358"/>
      <c r="Q48" s="375" t="str">
        <f t="shared" si="4"/>
        <v>Ln48</v>
      </c>
      <c r="R48" s="503" t="str">
        <f>IF(AND(C7&gt;0,D15=0),"WARN","OK")</f>
        <v>OK</v>
      </c>
      <c r="S48" s="506" t="s">
        <v>111</v>
      </c>
      <c r="T48" s="507"/>
      <c r="U48" s="357"/>
      <c r="V48" s="357"/>
      <c r="W48" s="357"/>
      <c r="X48" s="357"/>
      <c r="Y48" s="426" t="s">
        <v>56</v>
      </c>
      <c r="Z48" s="451">
        <f>AA47</f>
        <v>2250</v>
      </c>
      <c r="AA48" s="452">
        <f>Z34</f>
        <v>2700</v>
      </c>
      <c r="AB48" s="453">
        <f>+AA48-Z48</f>
        <v>450</v>
      </c>
      <c r="AC48" s="454">
        <f>IF(AD48=AD47,AC47,AD47)</f>
        <v>33</v>
      </c>
      <c r="AD48" s="455">
        <f>AE34</f>
        <v>35.700000000000003</v>
      </c>
      <c r="AE48" s="447">
        <f>AD48-AC48</f>
        <v>2.7000000000000028</v>
      </c>
      <c r="AF48" s="448">
        <f>IF(OR(AB48=0,AE48=0),0,ROUND(AE48/AB48,5))</f>
        <v>6.0000000000000001E-3</v>
      </c>
      <c r="AG48" s="449">
        <f ca="1">IF(AND(AA44&gt;=Z48,AA44&lt;AA48),AC48+((AA44-Z48)*AF48),AC48)</f>
        <v>34.048319999999997</v>
      </c>
      <c r="AH48" s="213">
        <f>AH47</f>
        <v>46</v>
      </c>
      <c r="AI48" s="237"/>
      <c r="AJ48" s="237"/>
    </row>
    <row r="49" spans="8:36" x14ac:dyDescent="0.2">
      <c r="P49" s="358"/>
      <c r="Q49" s="375" t="str">
        <f t="shared" si="4"/>
        <v>Ln49</v>
      </c>
      <c r="R49" s="503" t="str">
        <f>IF(AND(C7&gt;0,D16=0),"WARN","OK")</f>
        <v>OK</v>
      </c>
      <c r="S49" s="506" t="s">
        <v>113</v>
      </c>
      <c r="T49" s="507"/>
      <c r="U49" s="357"/>
      <c r="V49" s="357"/>
      <c r="W49" s="357"/>
      <c r="X49" s="357"/>
      <c r="Y49" s="426" t="s">
        <v>54</v>
      </c>
      <c r="Z49" s="451">
        <f>AA48</f>
        <v>2700</v>
      </c>
      <c r="AA49" s="452">
        <f>AA32</f>
        <v>2950</v>
      </c>
      <c r="AB49" s="453">
        <f>+AA49-Z49</f>
        <v>250</v>
      </c>
      <c r="AC49" s="454">
        <f>IF(AD49=AD48,AC48,AD48)</f>
        <v>35.700000000000003</v>
      </c>
      <c r="AD49" s="455">
        <f>AF32</f>
        <v>39</v>
      </c>
      <c r="AE49" s="447">
        <f>AD49-AC49</f>
        <v>3.2999999999999972</v>
      </c>
      <c r="AF49" s="448">
        <f>IF(OR(AB49=0,AE49=0),0,ROUND(AE49/AB49,5))</f>
        <v>1.32E-2</v>
      </c>
      <c r="AG49" s="449">
        <f ca="1">IF(AND(AA44&gt;=Z49,AA44&lt;AA49),AC49+((AA44-Z49)*AF49),AC49)</f>
        <v>35.700000000000003</v>
      </c>
      <c r="AH49" s="213">
        <f>AH48</f>
        <v>46</v>
      </c>
      <c r="AI49" s="237"/>
      <c r="AJ49" s="237"/>
    </row>
    <row r="50" spans="8:36" ht="13.5" thickBot="1" x14ac:dyDescent="0.25">
      <c r="P50" s="358"/>
      <c r="Q50" s="375" t="str">
        <f t="shared" si="4"/>
        <v>Ln50</v>
      </c>
      <c r="R50" s="503" t="str">
        <f>IF(AND(C7&gt;0,D17=0),"WARN","OK")</f>
        <v>OK</v>
      </c>
      <c r="S50" s="506" t="s">
        <v>112</v>
      </c>
      <c r="T50" s="507"/>
      <c r="U50" s="357"/>
      <c r="V50" s="357"/>
      <c r="W50" s="357"/>
      <c r="X50" s="357"/>
      <c r="Y50" s="458" t="s">
        <v>57</v>
      </c>
      <c r="Z50" s="459">
        <f>AA49</f>
        <v>2950</v>
      </c>
      <c r="AA50" s="460">
        <f>AC32</f>
        <v>2950</v>
      </c>
      <c r="AB50" s="461">
        <f>+AA50-Z50</f>
        <v>0</v>
      </c>
      <c r="AC50" s="462">
        <f>IF(AD50=AD49,AC49,AD49)</f>
        <v>39</v>
      </c>
      <c r="AD50" s="463">
        <f>AH32</f>
        <v>46</v>
      </c>
      <c r="AE50" s="464">
        <f>AD50-AC50</f>
        <v>7</v>
      </c>
      <c r="AF50" s="465">
        <f>IF(OR(AB50=0,AE50=0),0,ROUND(AE50/AB50,5))</f>
        <v>0</v>
      </c>
      <c r="AG50" s="466">
        <f ca="1">IF(AND(AA44&gt;=Z50,AA44&lt;AA50),AC50+((AA44-Z50)*AF50),AC50)</f>
        <v>39</v>
      </c>
      <c r="AH50" s="217">
        <f>AH49</f>
        <v>46</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358"/>
      <c r="Q51" s="375" t="str">
        <f t="shared" si="4"/>
        <v>Ln51</v>
      </c>
      <c r="R51" s="503" t="str">
        <f>IF(D18&gt;D15,"ERR","OK")</f>
        <v>OK</v>
      </c>
      <c r="S51" s="506" t="s">
        <v>94</v>
      </c>
      <c r="T51" s="507"/>
      <c r="U51" s="357"/>
      <c r="V51" s="357"/>
      <c r="W51" s="357"/>
      <c r="X51" s="357"/>
      <c r="Y51" s="357"/>
      <c r="Z51" s="357"/>
      <c r="AA51" s="357"/>
      <c r="AB51" s="357"/>
      <c r="AC51" s="357"/>
      <c r="AD51" s="357"/>
      <c r="AE51" s="357"/>
      <c r="AF51" s="357"/>
      <c r="AG51" s="357"/>
      <c r="AH51" s="357"/>
      <c r="AI51" s="237"/>
      <c r="AJ51" s="237"/>
    </row>
    <row r="52" spans="8:36" x14ac:dyDescent="0.2">
      <c r="I52" s="758"/>
      <c r="J52" s="762"/>
      <c r="K52" s="762"/>
      <c r="L52" s="762"/>
      <c r="M52" s="763"/>
      <c r="P52" s="358"/>
      <c r="Q52" s="375" t="str">
        <f t="shared" si="4"/>
        <v>Ln52</v>
      </c>
      <c r="R52" s="503" t="str">
        <f>IF(OR(D15=0,D16=0,D17=0),"WARN","OK")</f>
        <v>WARN</v>
      </c>
      <c r="S52" s="506" t="s">
        <v>110</v>
      </c>
      <c r="T52" s="507"/>
      <c r="U52" s="357"/>
      <c r="V52" s="357"/>
      <c r="W52" s="357"/>
      <c r="X52" s="357"/>
      <c r="Y52" s="357"/>
      <c r="Z52" s="357"/>
      <c r="AA52" s="357"/>
      <c r="AB52" s="357"/>
      <c r="AC52" s="357"/>
      <c r="AD52" s="357"/>
      <c r="AE52" s="357"/>
      <c r="AF52" s="357"/>
      <c r="AG52" s="357"/>
      <c r="AH52" s="357"/>
      <c r="AI52" s="237"/>
      <c r="AJ52" s="237"/>
    </row>
    <row r="53" spans="8:36" ht="13.5" thickBot="1" x14ac:dyDescent="0.25">
      <c r="I53" s="759"/>
      <c r="J53" s="764"/>
      <c r="K53" s="764"/>
      <c r="L53" s="764"/>
      <c r="M53" s="765"/>
      <c r="P53" s="358"/>
      <c r="Q53" s="375" t="str">
        <f t="shared" si="4"/>
        <v>Ln53</v>
      </c>
      <c r="R53" s="503" t="str">
        <f>IF(AND(D15&gt;0,D16&gt;0,D18&gt;0,T43&lt;1),"WARN","OK")</f>
        <v>OK</v>
      </c>
      <c r="S53" s="506" t="s">
        <v>90</v>
      </c>
      <c r="T53" s="507"/>
      <c r="U53" s="357"/>
      <c r="V53" s="357"/>
      <c r="W53" s="357"/>
      <c r="X53" s="357"/>
      <c r="Y53" s="357"/>
      <c r="Z53" s="357"/>
      <c r="AA53" s="357"/>
      <c r="AB53" s="357"/>
      <c r="AC53" s="357"/>
      <c r="AD53" s="357"/>
      <c r="AE53" s="357"/>
      <c r="AF53" s="357"/>
      <c r="AG53" s="357"/>
      <c r="AH53" s="357"/>
      <c r="AI53" s="237"/>
      <c r="AJ53" s="237"/>
    </row>
    <row r="54" spans="8:36" ht="13.5" thickTop="1" x14ac:dyDescent="0.2">
      <c r="I54" s="650" t="str">
        <f>IF(C4&lt;&gt;9999,"","Env "&amp;Z23&amp;"  "&amp;AA23&amp;"  "&amp;AA24&amp;"  "&amp;AA25&amp;"  "&amp;AA26&amp;"     "&amp;AC23&amp;"  "&amp;AD23&amp;"  "&amp;AD24&amp;"  "&amp;AD25&amp;"  "&amp;AD26)</f>
        <v/>
      </c>
      <c r="P54" s="358"/>
      <c r="Q54" s="357"/>
      <c r="R54" s="357"/>
      <c r="S54" s="357"/>
      <c r="T54" s="357"/>
      <c r="U54" s="357"/>
      <c r="V54" s="357"/>
      <c r="W54" s="357"/>
      <c r="X54" s="357"/>
      <c r="Y54" s="357"/>
      <c r="Z54" s="357"/>
      <c r="AA54" s="357"/>
      <c r="AB54" s="357"/>
      <c r="AC54" s="357"/>
      <c r="AD54" s="357"/>
      <c r="AE54" s="357"/>
      <c r="AF54" s="357"/>
      <c r="AG54" s="357"/>
      <c r="AH54" s="357"/>
      <c r="AI54" s="237"/>
      <c r="AJ54" s="237"/>
    </row>
    <row r="55" spans="8:36" x14ac:dyDescent="0.2">
      <c r="I55" s="651" t="str">
        <f>IF(C4&lt;&gt;9999,"","Fuel  T "&amp;T19&amp;"   F "&amp;T18&amp;"      Load   0 "&amp;U37&amp;"  T "&amp;U38&amp;"  F "&amp;U39)</f>
        <v/>
      </c>
      <c r="P55" s="358"/>
      <c r="Q55" s="357"/>
      <c r="R55" s="357"/>
      <c r="S55" s="357"/>
      <c r="T55" s="357"/>
      <c r="U55" s="357"/>
      <c r="V55" s="357"/>
      <c r="W55" s="357"/>
      <c r="X55" s="357"/>
      <c r="Y55" s="357"/>
      <c r="Z55" s="357"/>
      <c r="AA55" s="357"/>
      <c r="AB55" s="357"/>
      <c r="AC55" s="357"/>
      <c r="AD55" s="357"/>
      <c r="AE55" s="357"/>
      <c r="AF55" s="357"/>
      <c r="AG55" s="357"/>
      <c r="AH55" s="357"/>
      <c r="AI55" s="237"/>
      <c r="AJ55" s="237"/>
    </row>
    <row r="56" spans="8:36" x14ac:dyDescent="0.2">
      <c r="P56" s="358"/>
      <c r="Q56" s="357"/>
      <c r="R56" s="357"/>
      <c r="S56" s="357"/>
      <c r="T56" s="357"/>
      <c r="U56" s="357"/>
      <c r="V56" s="357"/>
      <c r="W56" s="357"/>
      <c r="X56" s="357"/>
      <c r="Y56" s="357"/>
      <c r="Z56" s="357"/>
      <c r="AA56" s="357"/>
      <c r="AB56" s="357"/>
      <c r="AC56" s="357"/>
      <c r="AD56" s="357"/>
      <c r="AE56" s="357"/>
      <c r="AF56" s="357"/>
      <c r="AG56" s="357"/>
      <c r="AH56" s="357"/>
      <c r="AI56" s="237"/>
      <c r="AJ56" s="237"/>
    </row>
  </sheetData>
  <sheetProtection algorithmName="SHA-512" hashValue="dqjCZL1g8eybT3oCEpL9toU6IsBvyVvRf/IaZ5IcSjp8IcSRUtuUr8TRhvqajsX9F7s6E5PARzAuwZ/PjA1nJg==" saltValue="3Q98arNBFKKMOpGb0Qn3yA==" spinCount="100000" sheet="1" selectLockedCells="1"/>
  <mergeCells count="45">
    <mergeCell ref="C4:D4"/>
    <mergeCell ref="B1:H1"/>
    <mergeCell ref="C2:E2"/>
    <mergeCell ref="J2:K2"/>
    <mergeCell ref="D3:F3"/>
    <mergeCell ref="J3:K3"/>
    <mergeCell ref="B7:B8"/>
    <mergeCell ref="C7:D8"/>
    <mergeCell ref="E7:F8"/>
    <mergeCell ref="B9:B10"/>
    <mergeCell ref="C9:D10"/>
    <mergeCell ref="E9:F10"/>
    <mergeCell ref="C11:F11"/>
    <mergeCell ref="AA11:AB11"/>
    <mergeCell ref="AF11:AG11"/>
    <mergeCell ref="C12:F12"/>
    <mergeCell ref="AA12:AB12"/>
    <mergeCell ref="AF12:AG12"/>
    <mergeCell ref="AH13:AH15"/>
    <mergeCell ref="D15:E15"/>
    <mergeCell ref="D16:E16"/>
    <mergeCell ref="B21:B22"/>
    <mergeCell ref="C21:F22"/>
    <mergeCell ref="D17:E17"/>
    <mergeCell ref="AF17:AG17"/>
    <mergeCell ref="D18:E18"/>
    <mergeCell ref="D13:E13"/>
    <mergeCell ref="AC13:AC15"/>
    <mergeCell ref="AH37:AH39"/>
    <mergeCell ref="C25:F25"/>
    <mergeCell ref="D28:E28"/>
    <mergeCell ref="F28:H28"/>
    <mergeCell ref="D29:E29"/>
    <mergeCell ref="D30:E30"/>
    <mergeCell ref="F30:H30"/>
    <mergeCell ref="AF35:AG35"/>
    <mergeCell ref="AA36:AB36"/>
    <mergeCell ref="AF36:AG36"/>
    <mergeCell ref="AC37:AC39"/>
    <mergeCell ref="AF41:AG41"/>
    <mergeCell ref="AA35:AB35"/>
    <mergeCell ref="I51:I53"/>
    <mergeCell ref="J51:M53"/>
    <mergeCell ref="C23:F23"/>
    <mergeCell ref="C24:F24"/>
  </mergeCells>
  <conditionalFormatting sqref="T37:T38">
    <cfRule type="expression" dxfId="232" priority="30" stopIfTrue="1">
      <formula>S37=""</formula>
    </cfRule>
  </conditionalFormatting>
  <conditionalFormatting sqref="I26 I28">
    <cfRule type="expression" dxfId="231" priority="31" stopIfTrue="1">
      <formula>E7=""</formula>
    </cfRule>
  </conditionalFormatting>
  <conditionalFormatting sqref="I27 I29:I30">
    <cfRule type="expression" dxfId="230" priority="32" stopIfTrue="1">
      <formula>C9=""</formula>
    </cfRule>
  </conditionalFormatting>
  <conditionalFormatting sqref="U37:U39 V19">
    <cfRule type="expression" dxfId="229" priority="34" stopIfTrue="1">
      <formula>S19=""</formula>
    </cfRule>
  </conditionalFormatting>
  <conditionalFormatting sqref="C25">
    <cfRule type="expression" dxfId="228" priority="35" stopIfTrue="1">
      <formula>AND(C7="",E7+C9+E9&gt;0)</formula>
    </cfRule>
  </conditionalFormatting>
  <conditionalFormatting sqref="B30">
    <cfRule type="expression" dxfId="227" priority="36" stopIfTrue="1">
      <formula>D29&gt;D28</formula>
    </cfRule>
  </conditionalFormatting>
  <conditionalFormatting sqref="D30:E30">
    <cfRule type="expression" dxfId="226" priority="37" stopIfTrue="1">
      <formula>D29&gt;D28</formula>
    </cfRule>
  </conditionalFormatting>
  <conditionalFormatting sqref="F30:H30">
    <cfRule type="expression" dxfId="225" priority="38" stopIfTrue="1">
      <formula>D29&gt;D28</formula>
    </cfRule>
  </conditionalFormatting>
  <conditionalFormatting sqref="B23 B25">
    <cfRule type="cellIs" dxfId="224" priority="39" stopIfTrue="1" operator="notEqual">
      <formula>""</formula>
    </cfRule>
  </conditionalFormatting>
  <conditionalFormatting sqref="B24">
    <cfRule type="cellIs" dxfId="223" priority="41" stopIfTrue="1" operator="notEqual">
      <formula>""</formula>
    </cfRule>
  </conditionalFormatting>
  <conditionalFormatting sqref="R46:R53 R8 R10 R29:R30 R33">
    <cfRule type="cellIs" dxfId="222" priority="42" stopIfTrue="1" operator="notEqual">
      <formula>""</formula>
    </cfRule>
  </conditionalFormatting>
  <conditionalFormatting sqref="S37:S39">
    <cfRule type="expression" dxfId="221" priority="43" stopIfTrue="1">
      <formula>S37=""</formula>
    </cfRule>
  </conditionalFormatting>
  <conditionalFormatting sqref="R18">
    <cfRule type="cellIs" dxfId="220" priority="44" stopIfTrue="1" operator="notEqual">
      <formula>""</formula>
    </cfRule>
  </conditionalFormatting>
  <conditionalFormatting sqref="J5">
    <cfRule type="expression" dxfId="219" priority="45" stopIfTrue="1">
      <formula>expired=TRUE</formula>
    </cfRule>
  </conditionalFormatting>
  <conditionalFormatting sqref="B1:H1">
    <cfRule type="expression" dxfId="218" priority="46" stopIfTrue="1">
      <formula>expired=TRUE</formula>
    </cfRule>
    <cfRule type="expression" dxfId="217" priority="47" stopIfTrue="1">
      <formula>old_ver=TRUE</formula>
    </cfRule>
  </conditionalFormatting>
  <conditionalFormatting sqref="I3">
    <cfRule type="expression" dxfId="216" priority="48" stopIfTrue="1">
      <formula>D3=""</formula>
    </cfRule>
  </conditionalFormatting>
  <conditionalFormatting sqref="J2">
    <cfRule type="expression" dxfId="215" priority="49" stopIfTrue="1">
      <formula>D3=""</formula>
    </cfRule>
  </conditionalFormatting>
  <conditionalFormatting sqref="L2">
    <cfRule type="expression" dxfId="214" priority="50" stopIfTrue="1">
      <formula>D3=""</formula>
    </cfRule>
  </conditionalFormatting>
  <conditionalFormatting sqref="L3">
    <cfRule type="expression" dxfId="213" priority="51" stopIfTrue="1">
      <formula>D3=""</formula>
    </cfRule>
  </conditionalFormatting>
  <conditionalFormatting sqref="J3:K3">
    <cfRule type="expression" dxfId="212" priority="52" stopIfTrue="1">
      <formula>D3=""</formula>
    </cfRule>
  </conditionalFormatting>
  <conditionalFormatting sqref="I2">
    <cfRule type="expression" dxfId="211" priority="53" stopIfTrue="1">
      <formula>AND(D3="",C2="")</formula>
    </cfRule>
  </conditionalFormatting>
  <conditionalFormatting sqref="V21">
    <cfRule type="expression" dxfId="210" priority="28" stopIfTrue="1">
      <formula>T21=""</formula>
    </cfRule>
  </conditionalFormatting>
  <conditionalFormatting sqref="E21:E22">
    <cfRule type="expression" dxfId="209" priority="54" stopIfTrue="1">
      <formula>OR(AC19="out",AF19="out")</formula>
    </cfRule>
  </conditionalFormatting>
  <conditionalFormatting sqref="M17">
    <cfRule type="expression" dxfId="208" priority="55" stopIfTrue="1">
      <formula>AE19="out"</formula>
    </cfRule>
  </conditionalFormatting>
  <conditionalFormatting sqref="K17">
    <cfRule type="expression" dxfId="207" priority="56" stopIfTrue="1">
      <formula>AE19&lt;&gt;"OK"</formula>
    </cfRule>
  </conditionalFormatting>
  <conditionalFormatting sqref="F21:F22">
    <cfRule type="expression" dxfId="206" priority="57" stopIfTrue="1">
      <formula>OR(AE19="out",AG19="out")</formula>
    </cfRule>
  </conditionalFormatting>
  <conditionalFormatting sqref="C21:C22">
    <cfRule type="expression" dxfId="205" priority="58" stopIfTrue="1">
      <formula>OR(AA19="out",AE19="out")</formula>
    </cfRule>
  </conditionalFormatting>
  <conditionalFormatting sqref="D21:D22">
    <cfRule type="expression" dxfId="204" priority="59" stopIfTrue="1">
      <formula>OR(AB19="out",#REF!="out")</formula>
    </cfRule>
  </conditionalFormatting>
  <conditionalFormatting sqref="K20">
    <cfRule type="expression" dxfId="203" priority="60" stopIfTrue="1">
      <formula>AE43&lt;&gt;"OK"</formula>
    </cfRule>
  </conditionalFormatting>
  <conditionalFormatting sqref="J16">
    <cfRule type="expression" dxfId="202" priority="61" stopIfTrue="1">
      <formula>R8&lt;&gt;"OK"</formula>
    </cfRule>
  </conditionalFormatting>
  <conditionalFormatting sqref="J19">
    <cfRule type="expression" dxfId="201" priority="62" stopIfTrue="1">
      <formula>R10&lt;&gt;"OK"</formula>
    </cfRule>
  </conditionalFormatting>
  <conditionalFormatting sqref="B21">
    <cfRule type="expression" dxfId="200" priority="63" stopIfTrue="1">
      <formula>R10&lt;&gt;"OK"</formula>
    </cfRule>
    <cfRule type="expression" dxfId="199" priority="64" stopIfTrue="1">
      <formula>R11&lt;&gt;"OK"</formula>
    </cfRule>
  </conditionalFormatting>
  <conditionalFormatting sqref="V27">
    <cfRule type="expression" dxfId="198" priority="26" stopIfTrue="1">
      <formula>T27=""</formula>
    </cfRule>
  </conditionalFormatting>
  <conditionalFormatting sqref="V26">
    <cfRule type="expression" dxfId="197" priority="27" stopIfTrue="1">
      <formula>S26=""</formula>
    </cfRule>
  </conditionalFormatting>
  <conditionalFormatting sqref="D15:E15">
    <cfRule type="expression" dxfId="196" priority="65" stopIfTrue="1">
      <formula>R18="err"</formula>
    </cfRule>
  </conditionalFormatting>
  <conditionalFormatting sqref="F23">
    <cfRule type="expression" dxfId="195" priority="66" stopIfTrue="1">
      <formula>#REF!&lt;&gt;"OK"</formula>
    </cfRule>
  </conditionalFormatting>
  <conditionalFormatting sqref="M16">
    <cfRule type="expression" dxfId="194" priority="67" stopIfTrue="1">
      <formula>J16&gt;U8</formula>
    </cfRule>
  </conditionalFormatting>
  <conditionalFormatting sqref="V18">
    <cfRule type="expression" dxfId="193" priority="68" stopIfTrue="1">
      <formula>S18=""</formula>
    </cfRule>
  </conditionalFormatting>
  <conditionalFormatting sqref="R31">
    <cfRule type="cellIs" dxfId="192" priority="23" stopIfTrue="1" operator="notEqual">
      <formula>""</formula>
    </cfRule>
  </conditionalFormatting>
  <conditionalFormatting sqref="R34">
    <cfRule type="cellIs" dxfId="191" priority="22" stopIfTrue="1" operator="notEqual">
      <formula>""</formula>
    </cfRule>
  </conditionalFormatting>
  <conditionalFormatting sqref="R32">
    <cfRule type="cellIs" dxfId="190" priority="21" stopIfTrue="1" operator="notEqual">
      <formula>""</formula>
    </cfRule>
  </conditionalFormatting>
  <conditionalFormatting sqref="B22">
    <cfRule type="expression" dxfId="189" priority="1241" stopIfTrue="1">
      <formula>R11&lt;&gt;"OK"</formula>
    </cfRule>
    <cfRule type="expression" dxfId="188" priority="1242" stopIfTrue="1">
      <formula>R29&lt;&gt;"OK"</formula>
    </cfRule>
  </conditionalFormatting>
  <conditionalFormatting sqref="C12">
    <cfRule type="expression" dxfId="187" priority="1243" stopIfTrue="1">
      <formula>R30="ERR"</formula>
    </cfRule>
  </conditionalFormatting>
  <conditionalFormatting sqref="C11">
    <cfRule type="expression" dxfId="186" priority="1244" stopIfTrue="1">
      <formula>R29="ERR"</formula>
    </cfRule>
  </conditionalFormatting>
  <conditionalFormatting sqref="C23:E23">
    <cfRule type="expression" dxfId="185" priority="1245" stopIfTrue="1">
      <formula>R53&lt;&gt;"OK"</formula>
    </cfRule>
  </conditionalFormatting>
  <conditionalFormatting sqref="C7:D8">
    <cfRule type="expression" dxfId="184" priority="1246" stopIfTrue="1">
      <formula>R46&lt;&gt;"OK"</formula>
    </cfRule>
  </conditionalFormatting>
  <conditionalFormatting sqref="D18:E18">
    <cfRule type="expression" dxfId="183" priority="1247" stopIfTrue="1">
      <formula>R51&lt;&gt;"OK"</formula>
    </cfRule>
  </conditionalFormatting>
  <conditionalFormatting sqref="B18 B20">
    <cfRule type="expression" dxfId="182" priority="1248" stopIfTrue="1">
      <formula>R51&lt;&gt;"OK"</formula>
    </cfRule>
  </conditionalFormatting>
  <conditionalFormatting sqref="D19">
    <cfRule type="expression" dxfId="181" priority="1250" stopIfTrue="1">
      <formula>R53&lt;&gt;"ok"</formula>
    </cfRule>
  </conditionalFormatting>
  <conditionalFormatting sqref="D13:E13">
    <cfRule type="expression" dxfId="180" priority="1251">
      <formula>AND(R34="ERR",D13&lt;&gt;0)</formula>
    </cfRule>
    <cfRule type="expression" dxfId="179" priority="1252" stopIfTrue="1">
      <formula>R31="ERR"</formula>
    </cfRule>
  </conditionalFormatting>
  <conditionalFormatting sqref="C12:F12">
    <cfRule type="expression" dxfId="178" priority="1253" stopIfTrue="1">
      <formula>AND(C12&lt;&gt;0,R33="ERR")</formula>
    </cfRule>
    <cfRule type="expression" dxfId="177" priority="1254" stopIfTrue="1">
      <formula>AND(R34="ERR",C12&lt;&gt;0)</formula>
    </cfRule>
  </conditionalFormatting>
  <conditionalFormatting sqref="C11:F11">
    <cfRule type="expression" dxfId="176" priority="1255" stopIfTrue="1">
      <formula>R33="ERR"</formula>
    </cfRule>
    <cfRule type="expression" dxfId="175" priority="1256" stopIfTrue="1">
      <formula>R32="ERR"</formula>
    </cfRule>
  </conditionalFormatting>
  <conditionalFormatting sqref="S21">
    <cfRule type="expression" dxfId="174" priority="12" stopIfTrue="1">
      <formula>T21=""</formula>
    </cfRule>
  </conditionalFormatting>
  <conditionalFormatting sqref="S22:S23">
    <cfRule type="expression" dxfId="173" priority="11" stopIfTrue="1">
      <formula>S22=""</formula>
    </cfRule>
  </conditionalFormatting>
  <conditionalFormatting sqref="S20">
    <cfRule type="expression" dxfId="172" priority="9">
      <formula>AND(OR(T20="",LEFT(T20,1)="F"),T18&lt;&gt;T19)</formula>
    </cfRule>
    <cfRule type="expression" dxfId="171" priority="10">
      <formula>AND(LEFT(T20,1)&lt;&gt;"F",T18=T19)</formula>
    </cfRule>
  </conditionalFormatting>
  <conditionalFormatting sqref="R20">
    <cfRule type="cellIs" dxfId="170" priority="8" stopIfTrue="1" operator="notEqual">
      <formula>""</formula>
    </cfRule>
  </conditionalFormatting>
  <conditionalFormatting sqref="V20">
    <cfRule type="expression" dxfId="169" priority="7" stopIfTrue="1">
      <formula>T20=""</formula>
    </cfRule>
  </conditionalFormatting>
  <conditionalFormatting sqref="S12:S15">
    <cfRule type="expression" dxfId="168" priority="5" stopIfTrue="1">
      <formula>S12=""</formula>
    </cfRule>
  </conditionalFormatting>
  <conditionalFormatting sqref="R11">
    <cfRule type="cellIs" dxfId="167" priority="4" stopIfTrue="1" operator="notEqual">
      <formula>""</formula>
    </cfRule>
  </conditionalFormatting>
  <conditionalFormatting sqref="S19">
    <cfRule type="expression" dxfId="166" priority="3" stopIfTrue="1">
      <formula>#REF!=""</formula>
    </cfRule>
  </conditionalFormatting>
  <conditionalFormatting sqref="C24:F24">
    <cfRule type="cellIs" dxfId="165" priority="2" stopIfTrue="1" operator="notEqual">
      <formula>""</formula>
    </cfRule>
  </conditionalFormatting>
  <conditionalFormatting sqref="I4">
    <cfRule type="expression" dxfId="164" priority="1" stopIfTrue="1">
      <formula>K3&gt;K2</formula>
    </cfRule>
  </conditionalFormatting>
  <dataValidations count="3">
    <dataValidation type="custom" allowBlank="1" showInputMessage="1" showErrorMessage="1" errorTitle="Input Error" error="Entry must be a NUMERIC VALUE!" sqref="D15:E17 C7:F12" xr:uid="{00000000-0002-0000-0D00-000000000000}">
      <formula1>ISNUMBER(C7)</formula1>
    </dataValidation>
    <dataValidation type="date" allowBlank="1" showInputMessage="1" showErrorMessage="1" errorTitle="Input Error" error="A valid date must be entered into this cell.  Enter as  mm/dd/yy  _x000a__x000a_" sqref="C2:E2" xr:uid="{00000000-0002-0000-0D00-000001000000}">
      <formula1>36526</formula1>
      <formula2>44196</formula2>
    </dataValidation>
    <dataValidation type="list" showInputMessage="1" showErrorMessage="1" errorTitle="STANDARD FUELING LEVEL" error="STANDARD FUELING LEVEL MUST BE ENTERED:_x000a_TABS,_x000a_Measured,_x000a_FULL" sqref="T20" xr:uid="{00000000-0002-0000-0D00-000002000000}">
      <formula1>"TABS,Measured,FULL"</formula1>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theme="1"/>
    <pageSetUpPr fitToPage="1"/>
  </sheetPr>
  <dimension ref="B1:AL68"/>
  <sheetViews>
    <sheetView showGridLines="0" showRowColHeaders="0" zoomScaleNormal="100" workbookViewId="0">
      <selection activeCell="C2" sqref="C2:F2"/>
    </sheetView>
  </sheetViews>
  <sheetFormatPr defaultRowHeight="12.75" x14ac:dyDescent="0.2"/>
  <cols>
    <col min="1" max="1" width="1.28515625" customWidth="1"/>
    <col min="2" max="2" width="14.28515625" customWidth="1"/>
    <col min="3" max="4" width="3.7109375" customWidth="1"/>
    <col min="5" max="5" width="4.7109375" customWidth="1"/>
    <col min="6" max="7" width="3.7109375" customWidth="1"/>
    <col min="8" max="8" width="4.7109375" customWidth="1"/>
    <col min="9" max="9" width="1.5703125" customWidth="1"/>
    <col min="10" max="10" width="1.85546875" customWidth="1"/>
    <col min="11" max="11" width="19" customWidth="1"/>
    <col min="12" max="13" width="10.28515625" customWidth="1"/>
    <col min="14" max="14" width="11.85546875" customWidth="1"/>
    <col min="15" max="15" width="37" customWidth="1"/>
    <col min="16" max="17" width="4.7109375" hidden="1" customWidth="1"/>
    <col min="18" max="18" width="11.7109375" style="41" hidden="1" customWidth="1"/>
    <col min="19" max="19" width="9.7109375" style="41" hidden="1" customWidth="1"/>
    <col min="20" max="20" width="8.42578125" style="41" hidden="1" customWidth="1"/>
    <col min="21" max="21" width="19" style="41" hidden="1" customWidth="1"/>
    <col min="22" max="24" width="7.7109375" style="41" hidden="1" customWidth="1"/>
    <col min="25" max="25" width="29.42578125" style="41" hidden="1" customWidth="1"/>
    <col min="26" max="27" width="3.85546875" hidden="1" customWidth="1"/>
    <col min="28" max="37" width="9" hidden="1" customWidth="1"/>
    <col min="38" max="38" width="8.85546875" hidden="1" customWidth="1"/>
  </cols>
  <sheetData>
    <row r="1" spans="2:38" ht="24" customHeight="1" thickBot="1" x14ac:dyDescent="0.25">
      <c r="B1" s="807" t="str">
        <f ca="1">status_msg</f>
        <v/>
      </c>
      <c r="C1" s="807"/>
      <c r="D1" s="807"/>
      <c r="E1" s="807"/>
      <c r="F1" s="807"/>
      <c r="G1" s="807"/>
      <c r="H1" s="807"/>
      <c r="I1" s="807"/>
      <c r="J1" s="807"/>
      <c r="K1" s="576" t="str">
        <f>S1</f>
        <v>CAP 9471</v>
      </c>
      <c r="L1" s="576" t="str">
        <f>T1</f>
        <v>N471CP</v>
      </c>
      <c r="M1" s="577"/>
      <c r="N1" s="578" t="str">
        <f>U1</f>
        <v>(300HP Gipplsand GA8)</v>
      </c>
      <c r="O1" s="577"/>
      <c r="R1" s="354"/>
      <c r="S1" s="355" t="s">
        <v>304</v>
      </c>
      <c r="T1" s="355" t="s">
        <v>273</v>
      </c>
      <c r="U1" s="356" t="s">
        <v>185</v>
      </c>
      <c r="V1" s="356"/>
      <c r="W1" s="357"/>
      <c r="X1" s="357"/>
      <c r="Y1" s="357"/>
      <c r="Z1" s="357"/>
      <c r="AA1" s="357"/>
      <c r="AB1" s="357"/>
      <c r="AC1" s="357"/>
      <c r="AD1" s="357"/>
      <c r="AE1" s="357"/>
      <c r="AF1" s="357"/>
      <c r="AG1" s="357"/>
      <c r="AH1" s="357"/>
      <c r="AI1" s="357"/>
      <c r="AJ1" s="357"/>
      <c r="AK1" s="357"/>
      <c r="AL1" s="357"/>
    </row>
    <row r="2" spans="2:38" ht="15" customHeight="1" thickTop="1" thickBot="1" x14ac:dyDescent="0.25">
      <c r="B2" s="137" t="s">
        <v>131</v>
      </c>
      <c r="C2" s="847"/>
      <c r="D2" s="847"/>
      <c r="E2" s="847"/>
      <c r="F2" s="848"/>
      <c r="G2" s="142" t="str">
        <f>IF(D3="","mm/dd/yy","(if not today)")</f>
        <v>mm/dd/yy</v>
      </c>
      <c r="H2" s="604"/>
      <c r="J2" s="523"/>
      <c r="K2" s="138" t="s">
        <v>131</v>
      </c>
      <c r="L2" s="810" t="str">
        <f>IF(C3="","","Mission Symbol")&amp;"   Mission No:"</f>
        <v xml:space="preserve">   Mission No:</v>
      </c>
      <c r="M2" s="810"/>
      <c r="N2" s="622" t="s">
        <v>130</v>
      </c>
      <c r="R2" s="358"/>
      <c r="S2" s="359" t="s">
        <v>173</v>
      </c>
      <c r="T2" s="359" t="s">
        <v>145</v>
      </c>
      <c r="U2" s="360" t="s">
        <v>172</v>
      </c>
      <c r="V2" s="361"/>
      <c r="W2" s="357"/>
      <c r="X2" s="357"/>
      <c r="Y2" s="357"/>
      <c r="Z2" s="357"/>
      <c r="AA2" s="357"/>
      <c r="AB2" s="357"/>
      <c r="AC2" s="357"/>
      <c r="AD2" s="357"/>
      <c r="AE2" s="357"/>
      <c r="AF2" s="357"/>
      <c r="AG2" s="357"/>
      <c r="AH2" s="357"/>
      <c r="AI2" s="357"/>
      <c r="AJ2" s="357"/>
      <c r="AK2" s="357"/>
      <c r="AL2" s="357"/>
    </row>
    <row r="3" spans="2:38" ht="15" customHeight="1" thickTop="1" thickBot="1" x14ac:dyDescent="0.25">
      <c r="B3" s="140" t="s">
        <v>137</v>
      </c>
      <c r="C3" s="630"/>
      <c r="D3" s="849"/>
      <c r="E3" s="830"/>
      <c r="F3" s="850"/>
      <c r="K3" s="131" t="str">
        <f ca="1">IF(AND(D3="",C2=""),"",IF(C2="",TODAY(),C2))</f>
        <v/>
      </c>
      <c r="L3" s="813" t="str">
        <f>IF(C3="","",IF(D3="","",C3))&amp;"      "&amp;IF(D3="","",D3)</f>
        <v xml:space="preserve">      </v>
      </c>
      <c r="M3" s="814"/>
      <c r="N3" s="132" t="str">
        <f>IF(C4="","",C4)</f>
        <v/>
      </c>
      <c r="R3" s="362"/>
      <c r="S3" s="363"/>
      <c r="T3" s="363"/>
      <c r="U3" s="357"/>
      <c r="V3" s="357"/>
      <c r="W3" s="357"/>
      <c r="X3" s="357"/>
      <c r="Y3" s="357"/>
      <c r="Z3" s="357"/>
      <c r="AA3" s="357"/>
      <c r="AB3" s="357"/>
      <c r="AC3" s="357"/>
      <c r="AD3" s="357"/>
      <c r="AE3" s="357"/>
      <c r="AF3" s="357"/>
      <c r="AG3" s="357"/>
      <c r="AH3" s="357"/>
      <c r="AI3" s="357"/>
      <c r="AJ3" s="357"/>
      <c r="AK3" s="357"/>
      <c r="AL3" s="357"/>
    </row>
    <row r="4" spans="2:38" ht="15" customHeight="1" thickTop="1" x14ac:dyDescent="0.2">
      <c r="B4" s="140" t="s">
        <v>130</v>
      </c>
      <c r="C4" s="845"/>
      <c r="D4" s="846"/>
      <c r="E4" s="140"/>
      <c r="F4" s="140"/>
      <c r="K4" s="704" t="s">
        <v>285</v>
      </c>
      <c r="L4" s="689"/>
      <c r="M4" s="688"/>
      <c r="N4" s="688"/>
      <c r="O4" s="688"/>
      <c r="R4" s="553" t="s">
        <v>222</v>
      </c>
      <c r="S4" s="366"/>
      <c r="T4" s="366"/>
      <c r="U4" s="357"/>
      <c r="V4" s="367" t="s">
        <v>98</v>
      </c>
      <c r="W4" s="368"/>
      <c r="X4" s="369" t="s">
        <v>99</v>
      </c>
      <c r="Y4" s="357"/>
      <c r="Z4" s="357"/>
      <c r="AA4" s="357"/>
      <c r="AB4" s="357"/>
      <c r="AC4" s="357"/>
      <c r="AD4" s="374" t="s">
        <v>163</v>
      </c>
      <c r="AE4" s="371"/>
      <c r="AF4" s="371"/>
      <c r="AG4" s="371"/>
      <c r="AH4" s="371"/>
      <c r="AI4" s="371"/>
      <c r="AJ4" s="357"/>
      <c r="AK4" s="357"/>
      <c r="AL4" s="357"/>
    </row>
    <row r="5" spans="2:38" ht="12" customHeight="1" thickBot="1" x14ac:dyDescent="0.25">
      <c r="E5" s="612" t="str">
        <f>IF(SUM(W31:W34)&gt;0,"=Seat(s) REMOVED","")</f>
        <v/>
      </c>
      <c r="K5" s="184" t="s">
        <v>151</v>
      </c>
      <c r="L5" s="36"/>
      <c r="M5" s="36"/>
      <c r="N5" s="36"/>
      <c r="O5" s="134" t="str">
        <f>"Release ID:   "&amp;release_nbr&amp;"    "&amp;TEXT(release_date,"dd mmm yyyy  ")</f>
        <v xml:space="preserve">Release ID:   R1    21 Mar 2020  </v>
      </c>
      <c r="R5" s="362"/>
      <c r="S5" s="357"/>
      <c r="T5" s="357"/>
      <c r="U5" s="357"/>
      <c r="V5" s="357"/>
      <c r="W5" s="357"/>
      <c r="X5" s="357"/>
      <c r="Y5" s="357"/>
      <c r="Z5" s="357"/>
      <c r="AA5" s="357"/>
      <c r="AB5" s="357"/>
      <c r="AC5" s="357"/>
      <c r="AD5" s="357"/>
      <c r="AE5" s="382"/>
      <c r="AF5" s="383" t="s">
        <v>162</v>
      </c>
      <c r="AG5" s="357"/>
      <c r="AH5" s="357"/>
      <c r="AI5" s="357"/>
      <c r="AJ5" s="357"/>
      <c r="AK5" s="357"/>
      <c r="AL5" s="357"/>
    </row>
    <row r="6" spans="2:38" ht="12.75" customHeight="1" thickTop="1" thickBot="1" x14ac:dyDescent="0.35">
      <c r="B6" s="3" t="s">
        <v>31</v>
      </c>
      <c r="G6" s="613" t="s">
        <v>236</v>
      </c>
      <c r="K6" s="37" t="s">
        <v>0</v>
      </c>
      <c r="L6" s="38" t="s">
        <v>1</v>
      </c>
      <c r="M6" s="38" t="s">
        <v>2</v>
      </c>
      <c r="N6" s="39" t="s">
        <v>87</v>
      </c>
      <c r="O6" s="133" t="s">
        <v>3</v>
      </c>
      <c r="R6" s="362"/>
      <c r="S6" s="370" t="s">
        <v>120</v>
      </c>
      <c r="T6" s="371"/>
      <c r="U6" s="371"/>
      <c r="V6" s="371"/>
      <c r="W6" s="372" t="s">
        <v>1</v>
      </c>
      <c r="X6" s="372" t="s">
        <v>2</v>
      </c>
      <c r="Y6" s="373" t="s">
        <v>179</v>
      </c>
      <c r="Z6" s="357"/>
      <c r="AA6" s="386"/>
      <c r="AB6" s="387"/>
      <c r="AC6" s="388">
        <v>4000</v>
      </c>
      <c r="AD6" s="41"/>
      <c r="AE6" s="624">
        <f>AC6</f>
        <v>4000</v>
      </c>
      <c r="AF6" s="357"/>
      <c r="AG6" s="41"/>
      <c r="AH6" s="389">
        <v>56</v>
      </c>
      <c r="AI6" s="41"/>
      <c r="AJ6" s="390">
        <v>64</v>
      </c>
      <c r="AK6" s="357"/>
      <c r="AL6" s="357"/>
    </row>
    <row r="7" spans="2:38" ht="15" customHeight="1" thickTop="1" x14ac:dyDescent="0.2">
      <c r="B7" s="803" t="s">
        <v>32</v>
      </c>
      <c r="C7" s="840"/>
      <c r="D7" s="841"/>
      <c r="E7" s="609">
        <v>0</v>
      </c>
      <c r="F7" s="840"/>
      <c r="G7" s="841"/>
      <c r="H7" s="609">
        <f>IF(H8=TRUE,$X$31*-1,0)</f>
        <v>0</v>
      </c>
      <c r="J7" s="1"/>
      <c r="K7" s="97" t="s">
        <v>4</v>
      </c>
      <c r="L7" s="98">
        <f>W7</f>
        <v>2411.4</v>
      </c>
      <c r="M7" s="99">
        <f>X7</f>
        <v>53.1</v>
      </c>
      <c r="N7" s="100">
        <f>ROUND(L7*M7/1000,3)</f>
        <v>128.04499999999999</v>
      </c>
      <c r="O7" s="14" t="str">
        <f>Y7</f>
        <v>W/B: 19 APR 2005 Gippland Aeromotive</v>
      </c>
      <c r="R7" s="362"/>
      <c r="S7" s="601" t="str">
        <f>"Ln"&amp;ROW()</f>
        <v>Ln7</v>
      </c>
      <c r="T7" s="392"/>
      <c r="U7" s="519" t="s">
        <v>4</v>
      </c>
      <c r="V7" s="520"/>
      <c r="W7" s="521">
        <v>2411.4</v>
      </c>
      <c r="X7" s="522">
        <v>53.1</v>
      </c>
      <c r="Y7" s="381" t="s">
        <v>303</v>
      </c>
      <c r="Z7" s="357"/>
      <c r="AA7" s="394"/>
      <c r="AB7" s="395"/>
      <c r="AC7" s="41"/>
      <c r="AD7" s="41"/>
      <c r="AE7" s="41"/>
      <c r="AF7" s="357"/>
      <c r="AG7" s="41"/>
      <c r="AH7" s="41"/>
      <c r="AI7" s="41"/>
      <c r="AJ7" s="41"/>
      <c r="AK7" s="357"/>
      <c r="AL7" s="357"/>
    </row>
    <row r="8" spans="2:38" ht="15" customHeight="1" thickBot="1" x14ac:dyDescent="0.3">
      <c r="B8" s="803"/>
      <c r="C8" s="842"/>
      <c r="D8" s="843"/>
      <c r="E8" s="610"/>
      <c r="F8" s="842"/>
      <c r="G8" s="843"/>
      <c r="H8" s="611" t="b">
        <v>0</v>
      </c>
      <c r="J8" s="1"/>
      <c r="K8" s="101" t="s">
        <v>10</v>
      </c>
      <c r="L8" s="102">
        <f>D18*6</f>
        <v>0</v>
      </c>
      <c r="M8" s="103">
        <f>W18</f>
        <v>67.5</v>
      </c>
      <c r="N8" s="104">
        <f t="shared" ref="N8:N14" si="0">ROUND((L8*M8)/1000,5)</f>
        <v>0</v>
      </c>
      <c r="O8" s="11" t="str">
        <f>X18&amp;" lbs Max ("&amp;V18&amp;" gals)  "&amp;IF(OR(V18=V19,V19="",V19=0),"",X19&amp;" lbs Tabs ("&amp;V19&amp;" gals)")</f>
        <v>522 lbs Max (87 gals)  396 lbs Tabs (66 gals)</v>
      </c>
      <c r="R8" s="362"/>
      <c r="S8" s="601" t="str">
        <f t="shared" ref="S8:S38" si="1">"Ln"&amp;ROW()</f>
        <v>Ln8</v>
      </c>
      <c r="T8" s="83" t="str">
        <f ca="1">IF(L17&gt;W8,"ERR","OK")</f>
        <v>OK</v>
      </c>
      <c r="U8" s="377" t="s">
        <v>168</v>
      </c>
      <c r="V8" s="378"/>
      <c r="W8" s="84">
        <v>4000</v>
      </c>
      <c r="X8" s="392"/>
      <c r="Y8" s="393" t="s">
        <v>176</v>
      </c>
      <c r="Z8" s="357"/>
      <c r="AA8" s="396" t="s">
        <v>155</v>
      </c>
      <c r="AB8" s="395"/>
      <c r="AC8" s="41"/>
      <c r="AD8" s="41"/>
      <c r="AE8" s="41"/>
      <c r="AF8" s="357"/>
      <c r="AG8" s="41"/>
      <c r="AH8" s="41"/>
      <c r="AI8" s="41"/>
      <c r="AJ8" s="41"/>
      <c r="AK8" s="357"/>
      <c r="AL8" s="357"/>
    </row>
    <row r="9" spans="2:38" ht="15" customHeight="1" thickTop="1" x14ac:dyDescent="0.25">
      <c r="B9" s="803" t="s">
        <v>84</v>
      </c>
      <c r="C9" s="840"/>
      <c r="D9" s="841"/>
      <c r="E9" s="616">
        <f>IF(E10=TRUE,$X$32*-1,0)</f>
        <v>0</v>
      </c>
      <c r="F9" s="840"/>
      <c r="G9" s="841"/>
      <c r="H9" s="609">
        <f>IF(H10=TRUE,$X$32*-1,0)</f>
        <v>0</v>
      </c>
      <c r="J9" s="1"/>
      <c r="K9" s="101" t="s">
        <v>11</v>
      </c>
      <c r="L9" s="102">
        <f>C7+F7+H7</f>
        <v>0</v>
      </c>
      <c r="M9" s="103">
        <f>W26</f>
        <v>38</v>
      </c>
      <c r="N9" s="104">
        <f t="shared" si="0"/>
        <v>0</v>
      </c>
      <c r="O9" s="617" t="str">
        <f>IF(H8&lt;&gt;TRUE,"",W31&amp;" seat removed "&amp;",  row weight reduced by "&amp;H7*-1&amp;" lbs")</f>
        <v/>
      </c>
      <c r="R9" s="362"/>
      <c r="S9" s="601" t="str">
        <f t="shared" si="1"/>
        <v>Ln9</v>
      </c>
      <c r="T9" s="83" t="str">
        <f>IF(W8=W10,"OK",IF(L19&gt;W10,"WARN","OK"))</f>
        <v>OK</v>
      </c>
      <c r="U9" s="377" t="s">
        <v>169</v>
      </c>
      <c r="V9" s="378"/>
      <c r="W9" s="84">
        <v>4010</v>
      </c>
      <c r="X9" s="392"/>
      <c r="Y9" s="393" t="s">
        <v>176</v>
      </c>
      <c r="Z9" s="357"/>
      <c r="AA9" s="396" t="s">
        <v>50</v>
      </c>
      <c r="AB9" s="395"/>
      <c r="AC9" s="766" t="s">
        <v>1</v>
      </c>
      <c r="AD9" s="766"/>
      <c r="AE9" s="41"/>
      <c r="AF9" s="357"/>
      <c r="AG9" s="41"/>
      <c r="AH9" s="766" t="s">
        <v>154</v>
      </c>
      <c r="AI9" s="766"/>
      <c r="AJ9" s="41"/>
      <c r="AK9" s="357"/>
      <c r="AL9" s="357"/>
    </row>
    <row r="10" spans="2:38" ht="15" customHeight="1" thickBot="1" x14ac:dyDescent="0.3">
      <c r="B10" s="803"/>
      <c r="C10" s="842"/>
      <c r="D10" s="843"/>
      <c r="E10" s="611" t="b">
        <v>0</v>
      </c>
      <c r="F10" s="842"/>
      <c r="G10" s="843"/>
      <c r="H10" s="611" t="b">
        <v>0</v>
      </c>
      <c r="J10" s="1"/>
      <c r="K10" s="16" t="s">
        <v>18</v>
      </c>
      <c r="L10" s="102">
        <f>C9+F9+E9+H9</f>
        <v>0</v>
      </c>
      <c r="M10" s="103">
        <f>W27</f>
        <v>69.8</v>
      </c>
      <c r="N10" s="104">
        <f t="shared" si="0"/>
        <v>0</v>
      </c>
      <c r="O10" s="617" t="str">
        <f>IF(AND(E10&lt;&gt;TRUE,H10&lt;&gt;TRUE),"",W32&amp;" seat(s) removed "&amp;",  row weight reduced by "&amp;(E9+H9)*-1&amp;" lbs")</f>
        <v/>
      </c>
      <c r="R10" s="362"/>
      <c r="S10" s="601" t="str">
        <f t="shared" si="1"/>
        <v>Ln10</v>
      </c>
      <c r="T10" s="83" t="str">
        <f>IF(W8=W10,"OK",IF(L17&gt;W10,"WARN","OK"))</f>
        <v>OK</v>
      </c>
      <c r="U10" s="377" t="s">
        <v>170</v>
      </c>
      <c r="V10" s="378"/>
      <c r="W10" s="84">
        <v>4000</v>
      </c>
      <c r="X10" s="392"/>
      <c r="Y10" s="393" t="s">
        <v>176</v>
      </c>
      <c r="Z10" s="357"/>
      <c r="AA10" s="396" t="s">
        <v>56</v>
      </c>
      <c r="AB10" s="388">
        <v>2400</v>
      </c>
      <c r="AC10" s="766" t="s">
        <v>153</v>
      </c>
      <c r="AD10" s="766"/>
      <c r="AE10" s="41"/>
      <c r="AF10" s="357"/>
      <c r="AG10" s="623">
        <f>AG14</f>
        <v>48</v>
      </c>
      <c r="AH10" s="766" t="s">
        <v>153</v>
      </c>
      <c r="AI10" s="766"/>
      <c r="AJ10" s="41"/>
      <c r="AK10" s="357"/>
      <c r="AL10" s="357"/>
    </row>
    <row r="11" spans="2:38" ht="15" customHeight="1" thickTop="1" x14ac:dyDescent="0.25">
      <c r="B11" s="844" t="s">
        <v>85</v>
      </c>
      <c r="C11" s="840"/>
      <c r="D11" s="841"/>
      <c r="E11" s="609">
        <f>IF(E12=TRUE,$X$33*-1,0)</f>
        <v>0</v>
      </c>
      <c r="F11" s="840"/>
      <c r="G11" s="841"/>
      <c r="H11" s="609">
        <f>IF(H12=TRUE,$X$33*-1,0)</f>
        <v>0</v>
      </c>
      <c r="J11" s="1"/>
      <c r="K11" s="101" t="s">
        <v>19</v>
      </c>
      <c r="L11" s="102">
        <f>C11+F11+E11+H11</f>
        <v>0</v>
      </c>
      <c r="M11" s="103">
        <f>W28</f>
        <v>99.3</v>
      </c>
      <c r="N11" s="104">
        <f t="shared" si="0"/>
        <v>0</v>
      </c>
      <c r="O11" s="617" t="str">
        <f>IF(AND(E12&lt;&gt;TRUE,H12&lt;&gt;TRUE),"",W33&amp;" seat(s) removed "&amp;",  row weight reduced by "&amp;(E11+H11)*-1&amp;" lbs")</f>
        <v/>
      </c>
      <c r="R11" s="362"/>
      <c r="S11" s="601" t="str">
        <f t="shared" si="1"/>
        <v>Ln11</v>
      </c>
      <c r="T11" s="384" t="str">
        <f>IF(W8=W10,"OK",IF(L20&gt;W11,"WARN","OK"))</f>
        <v>OK</v>
      </c>
      <c r="U11" s="397" t="s">
        <v>184</v>
      </c>
      <c r="V11" s="398"/>
      <c r="W11" s="89">
        <f>W10</f>
        <v>4000</v>
      </c>
      <c r="X11" s="357"/>
      <c r="Y11" s="357"/>
      <c r="Z11" s="357"/>
      <c r="AA11" s="396" t="s">
        <v>57</v>
      </c>
      <c r="AB11" s="395"/>
      <c r="AC11" s="41"/>
      <c r="AD11" s="41"/>
      <c r="AE11" s="767" t="s">
        <v>157</v>
      </c>
      <c r="AF11" s="357"/>
      <c r="AG11" s="41"/>
      <c r="AH11" s="41"/>
      <c r="AI11" s="41"/>
      <c r="AJ11" s="767" t="s">
        <v>167</v>
      </c>
      <c r="AK11" s="357"/>
      <c r="AL11" s="357"/>
    </row>
    <row r="12" spans="2:38" ht="15" customHeight="1" thickBot="1" x14ac:dyDescent="0.3">
      <c r="B12" s="844"/>
      <c r="C12" s="842"/>
      <c r="D12" s="843"/>
      <c r="E12" s="611" t="b">
        <v>0</v>
      </c>
      <c r="F12" s="842"/>
      <c r="G12" s="843"/>
      <c r="H12" s="611" t="b">
        <v>0</v>
      </c>
      <c r="J12" s="1"/>
      <c r="K12" s="101" t="s">
        <v>20</v>
      </c>
      <c r="L12" s="102">
        <f>C13+F13+E13+H13</f>
        <v>0</v>
      </c>
      <c r="M12" s="103">
        <f>W29</f>
        <v>127.8</v>
      </c>
      <c r="N12" s="104">
        <f t="shared" si="0"/>
        <v>0</v>
      </c>
      <c r="O12" s="617" t="str">
        <f>IF(AND(E14&lt;&gt;TRUE,H14&lt;&gt;TRUE),"",W34&amp;" seat(s) removed "&amp;",  row weight reduced by "&amp;(E13+H13)*-1&amp;" lbs")</f>
        <v/>
      </c>
      <c r="R12" s="362"/>
      <c r="S12" s="601" t="str">
        <f t="shared" si="1"/>
        <v>Ln12</v>
      </c>
      <c r="T12" s="391"/>
      <c r="U12" s="400" t="s">
        <v>7</v>
      </c>
      <c r="V12" s="391"/>
      <c r="W12" s="391"/>
      <c r="X12" s="392"/>
      <c r="Y12" s="393" t="s">
        <v>176</v>
      </c>
      <c r="Z12" s="357"/>
      <c r="AA12" s="396" t="s">
        <v>156</v>
      </c>
      <c r="AB12" s="395"/>
      <c r="AC12" s="41"/>
      <c r="AD12" s="41"/>
      <c r="AE12" s="767"/>
      <c r="AF12" s="357"/>
      <c r="AG12" s="41"/>
      <c r="AH12" s="41"/>
      <c r="AI12" s="41"/>
      <c r="AJ12" s="767"/>
      <c r="AK12" s="357"/>
      <c r="AL12" s="357"/>
    </row>
    <row r="13" spans="2:38" ht="15" customHeight="1" thickTop="1" x14ac:dyDescent="0.25">
      <c r="B13" s="803" t="s">
        <v>86</v>
      </c>
      <c r="C13" s="840"/>
      <c r="D13" s="841"/>
      <c r="E13" s="609">
        <f>IF(E14=TRUE,$X$34*-1,0)</f>
        <v>0</v>
      </c>
      <c r="F13" s="840"/>
      <c r="G13" s="841"/>
      <c r="H13" s="609">
        <f>IF(H14=TRUE,$X$34*-1,0)</f>
        <v>0</v>
      </c>
      <c r="J13" s="1"/>
      <c r="K13" s="101" t="s">
        <v>21</v>
      </c>
      <c r="L13" s="102">
        <f>C15</f>
        <v>0</v>
      </c>
      <c r="M13" s="103">
        <f>W36</f>
        <v>148.30000000000001</v>
      </c>
      <c r="N13" s="104">
        <f t="shared" si="0"/>
        <v>0</v>
      </c>
      <c r="O13" s="11" t="str">
        <f>X36&amp;" lbs max "&amp;IF(X38=0,"","( "&amp;X38&amp;" max Baggage 1+2 )")</f>
        <v xml:space="preserve">250 lbs max </v>
      </c>
      <c r="R13" s="362"/>
      <c r="S13" s="601" t="str">
        <f t="shared" si="1"/>
        <v>Ln13</v>
      </c>
      <c r="T13" s="391"/>
      <c r="U13" s="400" t="s">
        <v>8</v>
      </c>
      <c r="V13" s="391"/>
      <c r="W13" s="391"/>
      <c r="X13" s="392"/>
      <c r="Y13" s="393" t="s">
        <v>176</v>
      </c>
      <c r="Z13" s="357"/>
      <c r="AA13" s="396" t="s">
        <v>47</v>
      </c>
      <c r="AB13" s="388">
        <v>2100</v>
      </c>
      <c r="AC13" s="41"/>
      <c r="AD13" s="41"/>
      <c r="AE13" s="792"/>
      <c r="AF13" s="357"/>
      <c r="AG13" s="41"/>
      <c r="AH13" s="41"/>
      <c r="AI13" s="41"/>
      <c r="AJ13" s="792"/>
      <c r="AK13" s="357"/>
      <c r="AL13" s="357"/>
    </row>
    <row r="14" spans="2:38" ht="15" customHeight="1" thickBot="1" x14ac:dyDescent="0.25">
      <c r="B14" s="803"/>
      <c r="C14" s="842"/>
      <c r="D14" s="843"/>
      <c r="E14" s="611" t="b">
        <v>0</v>
      </c>
      <c r="F14" s="842"/>
      <c r="G14" s="843"/>
      <c r="H14" s="611" t="b">
        <v>0</v>
      </c>
      <c r="J14" s="1"/>
      <c r="K14" s="16" t="s">
        <v>22</v>
      </c>
      <c r="L14" s="102">
        <f>C16</f>
        <v>0</v>
      </c>
      <c r="M14" s="103">
        <f>W37</f>
        <v>182</v>
      </c>
      <c r="N14" s="104">
        <f t="shared" si="0"/>
        <v>0</v>
      </c>
      <c r="O14" s="11" t="str">
        <f>X37&amp;" lbs max "</f>
        <v xml:space="preserve">50 lbs max </v>
      </c>
      <c r="R14" s="362"/>
      <c r="S14" s="601" t="str">
        <f t="shared" si="1"/>
        <v>Ln14</v>
      </c>
      <c r="T14" s="391"/>
      <c r="U14" s="400" t="s">
        <v>24</v>
      </c>
      <c r="V14" s="391"/>
      <c r="W14" s="391"/>
      <c r="X14" s="392"/>
      <c r="Y14" s="393" t="s">
        <v>177</v>
      </c>
      <c r="Z14" s="357"/>
      <c r="AA14" s="402"/>
      <c r="AB14" s="395"/>
      <c r="AC14" s="41"/>
      <c r="AD14" s="41"/>
      <c r="AE14" s="403">
        <f>AE6</f>
        <v>4000</v>
      </c>
      <c r="AF14" s="357"/>
      <c r="AG14" s="404">
        <v>48</v>
      </c>
      <c r="AH14" s="82"/>
      <c r="AI14" s="82"/>
      <c r="AJ14" s="405">
        <f>AJ6</f>
        <v>64</v>
      </c>
      <c r="AK14" s="357"/>
      <c r="AL14" s="357"/>
    </row>
    <row r="15" spans="2:38" ht="15" customHeight="1" thickTop="1" thickBot="1" x14ac:dyDescent="0.3">
      <c r="B15" s="31" t="s">
        <v>38</v>
      </c>
      <c r="C15" s="827"/>
      <c r="D15" s="828"/>
      <c r="E15" s="828"/>
      <c r="F15" s="828"/>
      <c r="G15" s="829"/>
      <c r="J15" s="1"/>
      <c r="K15" s="15" t="s">
        <v>6</v>
      </c>
      <c r="L15" s="105">
        <f>SUM(L7:L14)</f>
        <v>2411.4</v>
      </c>
      <c r="M15" s="103"/>
      <c r="N15" s="106">
        <f>SUM(N7:N14)</f>
        <v>128.04499999999999</v>
      </c>
      <c r="O15" s="11" t="str">
        <f>"Max Takeoff Weight: "&amp;TEXT(W8,"#,###")&amp;IF(W8&lt;&gt;W10," - Landing "&amp;TEXT(W10,"#,###"),"")</f>
        <v>Max Takeoff Weight: 4,000</v>
      </c>
      <c r="R15" s="362"/>
      <c r="S15" s="601" t="str">
        <f t="shared" si="1"/>
        <v>Ln15</v>
      </c>
      <c r="T15" s="391"/>
      <c r="U15" s="400" t="s">
        <v>8</v>
      </c>
      <c r="V15" s="391"/>
      <c r="W15" s="391"/>
      <c r="X15" s="392"/>
      <c r="Y15" s="393" t="s">
        <v>177</v>
      </c>
      <c r="Z15" s="357"/>
      <c r="AA15" s="407"/>
      <c r="AB15" s="408"/>
      <c r="AC15" s="41"/>
      <c r="AD15" s="41"/>
      <c r="AE15" s="41"/>
      <c r="AF15" s="357"/>
      <c r="AG15" s="409"/>
      <c r="AH15" s="797" t="s">
        <v>161</v>
      </c>
      <c r="AI15" s="797"/>
      <c r="AJ15" s="410"/>
      <c r="AK15" s="357"/>
      <c r="AL15" s="357"/>
    </row>
    <row r="16" spans="2:38" ht="15" customHeight="1" thickTop="1" thickBot="1" x14ac:dyDescent="0.25">
      <c r="B16" s="31" t="s">
        <v>39</v>
      </c>
      <c r="C16" s="827"/>
      <c r="D16" s="828"/>
      <c r="E16" s="828"/>
      <c r="F16" s="828"/>
      <c r="G16" s="829"/>
      <c r="J16" s="1"/>
      <c r="K16" s="16" t="s">
        <v>15</v>
      </c>
      <c r="L16" s="105">
        <f>X21</f>
        <v>-10</v>
      </c>
      <c r="M16" s="103">
        <f>W18</f>
        <v>67.5</v>
      </c>
      <c r="N16" s="104">
        <f>ROUND((L16*M16)/1000,5)</f>
        <v>-0.67500000000000004</v>
      </c>
      <c r="O16" s="11" t="s">
        <v>16</v>
      </c>
      <c r="R16" s="362"/>
      <c r="S16" s="401"/>
      <c r="T16" s="401"/>
      <c r="U16" s="401"/>
      <c r="V16" s="401"/>
      <c r="W16" s="401"/>
      <c r="X16" s="401"/>
      <c r="Y16" s="401"/>
      <c r="Z16" s="357"/>
      <c r="AA16" s="357"/>
      <c r="AB16" s="357"/>
      <c r="AC16" s="357"/>
      <c r="AD16" s="357"/>
      <c r="AE16" s="357"/>
      <c r="AF16" s="357"/>
      <c r="AG16" s="357"/>
      <c r="AH16" s="357"/>
      <c r="AI16" s="357"/>
      <c r="AJ16" s="357"/>
      <c r="AK16" s="357"/>
      <c r="AL16" s="357"/>
    </row>
    <row r="17" spans="2:38" ht="15" customHeight="1" thickTop="1" thickBot="1" x14ac:dyDescent="0.35">
      <c r="B17" s="3"/>
      <c r="C17" s="1"/>
      <c r="G17" s="40" t="str">
        <f>IF(T20="err","","(Std Fueling "&amp;V19&amp;" gal ("&amp;V20&amp;"))")</f>
        <v>(Std Fueling 66 gal (Measured))</v>
      </c>
      <c r="H17" s="40"/>
      <c r="J17" s="1"/>
      <c r="K17" s="15" t="s">
        <v>7</v>
      </c>
      <c r="L17" s="107">
        <f ca="1">IF(expired=TRUE,9999,SUM(L15:L16))</f>
        <v>2401.4</v>
      </c>
      <c r="M17" s="108"/>
      <c r="N17" s="109">
        <f>SUM(N15:N16)</f>
        <v>127.36999999999999</v>
      </c>
      <c r="O17" s="110" t="str">
        <f>"Max Gross: "&amp;TEXT(W8,"#,##0")&amp;"   Useful Load: "&amp;TEXT(W42,"#,##0")</f>
        <v>Max Gross: 4,000   Useful Load: 1,588</v>
      </c>
      <c r="R17" s="362"/>
      <c r="S17" s="370" t="s">
        <v>158</v>
      </c>
      <c r="T17" s="371"/>
      <c r="U17" s="371"/>
      <c r="V17" s="406" t="s">
        <v>174</v>
      </c>
      <c r="W17" s="372" t="s">
        <v>2</v>
      </c>
      <c r="X17" s="372" t="s">
        <v>1</v>
      </c>
      <c r="Y17" s="373" t="s">
        <v>179</v>
      </c>
      <c r="Z17" s="357"/>
      <c r="AA17" s="237"/>
      <c r="AB17" s="237"/>
      <c r="AC17" s="291" t="str">
        <f ca="1">IF(AC18&gt;W8,"OUT","OK")</f>
        <v>OK</v>
      </c>
      <c r="AD17" s="250"/>
      <c r="AE17" s="237"/>
      <c r="AF17" s="237"/>
      <c r="AG17" s="291" t="str">
        <f ca="1">IF(AND(AG18&gt;=AI18,AG18&lt;=AJ18),"OK","OUT")</f>
        <v>OK</v>
      </c>
      <c r="AH17" s="237"/>
      <c r="AI17" s="237"/>
      <c r="AJ17" s="237"/>
      <c r="AK17" s="357"/>
      <c r="AL17" s="357"/>
    </row>
    <row r="18" spans="2:38" ht="15" customHeight="1" thickTop="1" thickBot="1" x14ac:dyDescent="0.25">
      <c r="B18" s="32" t="s">
        <v>88</v>
      </c>
      <c r="C18" s="4"/>
      <c r="D18" s="830"/>
      <c r="E18" s="830"/>
      <c r="F18" s="5" t="s">
        <v>36</v>
      </c>
      <c r="H18" s="5"/>
      <c r="J18" s="1"/>
      <c r="K18" s="18" t="s">
        <v>8</v>
      </c>
      <c r="L18" s="111"/>
      <c r="M18" s="112">
        <f ca="1">IF(expired=TRUE,9999,(N17*1000)/L17)</f>
        <v>53.039893395519272</v>
      </c>
      <c r="N18" s="113"/>
      <c r="O18" s="12" t="s">
        <v>9</v>
      </c>
      <c r="R18" s="362"/>
      <c r="S18" s="601" t="str">
        <f t="shared" si="1"/>
        <v>Ln18</v>
      </c>
      <c r="T18" s="83" t="str">
        <f>IF(D18&gt;V18,"ERR","OK")</f>
        <v>OK</v>
      </c>
      <c r="U18" s="548" t="s">
        <v>239</v>
      </c>
      <c r="V18" s="411">
        <v>87</v>
      </c>
      <c r="W18" s="380">
        <v>67.5</v>
      </c>
      <c r="X18" s="412">
        <f>V18*6</f>
        <v>522</v>
      </c>
      <c r="Y18" s="393" t="s">
        <v>176</v>
      </c>
      <c r="Z18" s="357"/>
      <c r="AA18" s="270" t="s">
        <v>47</v>
      </c>
      <c r="AB18" s="288" t="s">
        <v>1</v>
      </c>
      <c r="AC18" s="316">
        <f ca="1">L17</f>
        <v>2401.4</v>
      </c>
      <c r="AD18" s="236"/>
      <c r="AE18" s="292"/>
      <c r="AF18" s="288" t="s">
        <v>40</v>
      </c>
      <c r="AG18" s="317">
        <f ca="1">M18</f>
        <v>53.039893395519272</v>
      </c>
      <c r="AH18" s="287" t="s">
        <v>61</v>
      </c>
      <c r="AI18" s="318">
        <f ca="1">VLOOKUP(AC18,AB21:AJ24,8,TRUE)</f>
        <v>48.006999999999998</v>
      </c>
      <c r="AJ18" s="319">
        <f ca="1">VLOOKUP(AC18,AB21:AJ24,9,TRUE)</f>
        <v>64</v>
      </c>
      <c r="AK18" s="357"/>
      <c r="AL18" s="357"/>
    </row>
    <row r="19" spans="2:38" ht="15" customHeight="1" thickTop="1" thickBot="1" x14ac:dyDescent="0.25">
      <c r="B19" s="32" t="s">
        <v>35</v>
      </c>
      <c r="C19" s="2"/>
      <c r="D19" s="831"/>
      <c r="E19" s="832"/>
      <c r="F19" s="5" t="s">
        <v>108</v>
      </c>
      <c r="H19" s="5"/>
      <c r="J19" s="1"/>
      <c r="K19" s="114" t="s">
        <v>23</v>
      </c>
      <c r="L19" s="115">
        <f>D21*6*-1</f>
        <v>0</v>
      </c>
      <c r="M19" s="116">
        <f>W18</f>
        <v>67.5</v>
      </c>
      <c r="N19" s="117">
        <f>ROUND((L19*M19)/1000,5)</f>
        <v>0</v>
      </c>
      <c r="O19" s="29" t="s">
        <v>73</v>
      </c>
      <c r="R19" s="362"/>
      <c r="S19" s="601" t="str">
        <f t="shared" si="1"/>
        <v>Ln19</v>
      </c>
      <c r="T19" s="391"/>
      <c r="U19" s="549" t="s">
        <v>240</v>
      </c>
      <c r="V19" s="411">
        <v>66</v>
      </c>
      <c r="W19" s="392"/>
      <c r="X19" s="412">
        <f>V19*6</f>
        <v>396</v>
      </c>
      <c r="Y19" s="357"/>
      <c r="Z19" s="357"/>
      <c r="AA19" s="271" t="s">
        <v>48</v>
      </c>
      <c r="AB19" s="273"/>
      <c r="AC19" s="274" t="s">
        <v>67</v>
      </c>
      <c r="AD19" s="275"/>
      <c r="AE19" s="293"/>
      <c r="AF19" s="273"/>
      <c r="AG19" s="276" t="s">
        <v>66</v>
      </c>
      <c r="AH19" s="273"/>
      <c r="AI19" s="277" t="s">
        <v>46</v>
      </c>
      <c r="AJ19" s="278" t="s">
        <v>46</v>
      </c>
      <c r="AK19" s="357"/>
      <c r="AL19" s="357"/>
    </row>
    <row r="20" spans="2:38" ht="15" customHeight="1" thickTop="1" thickBot="1" x14ac:dyDescent="0.25">
      <c r="B20" s="58" t="s">
        <v>107</v>
      </c>
      <c r="C20" s="2"/>
      <c r="D20" s="833"/>
      <c r="E20" s="833"/>
      <c r="F20" s="5" t="s">
        <v>109</v>
      </c>
      <c r="H20" s="5"/>
      <c r="J20" s="1"/>
      <c r="K20" s="118" t="s">
        <v>24</v>
      </c>
      <c r="L20" s="119">
        <f ca="1">SUM(L17:L19)</f>
        <v>2401.4</v>
      </c>
      <c r="M20" s="108"/>
      <c r="N20" s="120">
        <f>SUM(N17:N19)</f>
        <v>127.36999999999999</v>
      </c>
      <c r="O20" s="29" t="str">
        <f>IF(W8=W10,"Landing Weight Limit same as Takeoff Weight","Max Landing Weight  "&amp;TEXT(W10,"#,##0"))</f>
        <v>Landing Weight Limit same as Takeoff Weight</v>
      </c>
      <c r="R20" s="362"/>
      <c r="S20" s="601" t="str">
        <f t="shared" si="1"/>
        <v>Ln20</v>
      </c>
      <c r="T20" s="83" t="str">
        <f>IF(AND(V18=V19,LEFT(V20,1)="F"),"OK",IF(AND(V18&lt;&gt;V19,LEFT(V20,1)&lt;&gt;"F"),"OK","ERR"))</f>
        <v>OK</v>
      </c>
      <c r="U20" s="547" t="s">
        <v>188</v>
      </c>
      <c r="V20" s="546" t="s">
        <v>186</v>
      </c>
      <c r="W20" s="397" t="s">
        <v>190</v>
      </c>
      <c r="X20" s="412"/>
      <c r="Y20" s="392"/>
      <c r="Z20" s="357"/>
      <c r="AA20" s="271" t="s">
        <v>49</v>
      </c>
      <c r="AB20" s="279" t="s">
        <v>41</v>
      </c>
      <c r="AC20" s="279" t="s">
        <v>42</v>
      </c>
      <c r="AD20" s="280" t="s">
        <v>43</v>
      </c>
      <c r="AE20" s="281" t="s">
        <v>41</v>
      </c>
      <c r="AF20" s="282" t="s">
        <v>42</v>
      </c>
      <c r="AG20" s="283" t="s">
        <v>44</v>
      </c>
      <c r="AH20" s="284" t="s">
        <v>45</v>
      </c>
      <c r="AI20" s="285" t="s">
        <v>68</v>
      </c>
      <c r="AJ20" s="286" t="s">
        <v>69</v>
      </c>
      <c r="AK20" s="357"/>
      <c r="AL20" s="357"/>
    </row>
    <row r="21" spans="2:38" ht="15" customHeight="1" thickTop="1" thickBot="1" x14ac:dyDescent="0.25">
      <c r="B21" s="32" t="s">
        <v>34</v>
      </c>
      <c r="D21" s="834">
        <f>D19*D20</f>
        <v>0</v>
      </c>
      <c r="E21" s="835"/>
      <c r="F21" s="5" t="s">
        <v>36</v>
      </c>
      <c r="H21" s="5"/>
      <c r="J21" s="1"/>
      <c r="K21" s="121" t="s">
        <v>8</v>
      </c>
      <c r="L21" s="122"/>
      <c r="M21" s="123">
        <f ca="1">(N20*1000)/L20</f>
        <v>53.039893395519272</v>
      </c>
      <c r="N21" s="124"/>
      <c r="O21" s="30" t="s">
        <v>65</v>
      </c>
      <c r="R21" s="362"/>
      <c r="S21" s="601" t="str">
        <f t="shared" si="1"/>
        <v>Ln21</v>
      </c>
      <c r="T21" s="391"/>
      <c r="U21" s="548" t="s">
        <v>191</v>
      </c>
      <c r="V21" s="411">
        <v>1.7</v>
      </c>
      <c r="W21" s="392"/>
      <c r="X21" s="412">
        <f>ROUND(V21*6,0)*-1</f>
        <v>-10</v>
      </c>
      <c r="Y21" s="357"/>
      <c r="Z21" s="357"/>
      <c r="AA21" s="271" t="s">
        <v>50</v>
      </c>
      <c r="AB21" s="218">
        <v>2100</v>
      </c>
      <c r="AC21" s="219">
        <v>2400</v>
      </c>
      <c r="AD21" s="528">
        <f>+AC21-AB21</f>
        <v>300</v>
      </c>
      <c r="AE21" s="222">
        <v>48</v>
      </c>
      <c r="AF21" s="223">
        <v>48</v>
      </c>
      <c r="AG21" s="533">
        <f>AF21-AE21</f>
        <v>0</v>
      </c>
      <c r="AH21" s="534">
        <f>IF(OR(AD21=0,AG21=0),0,ROUND(AG21/AD21,5))</f>
        <v>0</v>
      </c>
      <c r="AI21" s="535">
        <f ca="1">IF(AND(AC18&gt;=AB21,AC18&lt;AC21),AE21+((AC18-AB21)*AH21),AE21)</f>
        <v>48</v>
      </c>
      <c r="AJ21" s="536">
        <f>AF24</f>
        <v>64</v>
      </c>
      <c r="AK21" s="357"/>
      <c r="AL21" s="357"/>
    </row>
    <row r="22" spans="2:38" ht="14.25" thickTop="1" thickBot="1" x14ac:dyDescent="0.25">
      <c r="B22" s="33" t="str">
        <f>IF(T58="OK","Reserve/End of FLT","&lt;1Hr Res/End of FLT")</f>
        <v>Reserve/End of FLT</v>
      </c>
      <c r="D22" s="59" t="str">
        <f>IF(T56&lt;&gt;"OK","Fuel used &gt; loaded",IF(AND(T57="OK",T56="OK"),""&amp;TEXT(D18-D21,"##.0")&amp;" Gal  ~"&amp;TEXT(V48,"##.0")&amp;" HRS",""))</f>
        <v/>
      </c>
      <c r="E22" s="59"/>
      <c r="F22" s="2"/>
      <c r="R22" s="358"/>
      <c r="S22" s="601" t="str">
        <f t="shared" si="1"/>
        <v>Ln22</v>
      </c>
      <c r="T22" s="391"/>
      <c r="U22" s="550" t="s">
        <v>15</v>
      </c>
      <c r="V22" s="391"/>
      <c r="W22" s="392"/>
      <c r="X22" s="391"/>
      <c r="Y22" s="393" t="s">
        <v>177</v>
      </c>
      <c r="Z22" s="357"/>
      <c r="AA22" s="271" t="s">
        <v>51</v>
      </c>
      <c r="AB22" s="526">
        <f>AC21</f>
        <v>2400</v>
      </c>
      <c r="AC22" s="220">
        <v>4000</v>
      </c>
      <c r="AD22" s="529">
        <f>+AC22-AB22</f>
        <v>1600</v>
      </c>
      <c r="AE22" s="531">
        <f>IF(AF22=AF21,AE21,AF21)</f>
        <v>48</v>
      </c>
      <c r="AF22" s="224">
        <v>56</v>
      </c>
      <c r="AG22" s="533">
        <f>AF22-AE22</f>
        <v>8</v>
      </c>
      <c r="AH22" s="534">
        <f>IF(OR(AD22=0,AG22=0),0,ROUND(AG22/AD22,5))</f>
        <v>5.0000000000000001E-3</v>
      </c>
      <c r="AI22" s="535">
        <f ca="1">IF(AND(AC18&gt;=AB22,AC18&lt;AC22),AE22+((AC18-AB22)*AH22),AE22)</f>
        <v>48.006999999999998</v>
      </c>
      <c r="AJ22" s="537">
        <f>AJ21</f>
        <v>64</v>
      </c>
      <c r="AK22" s="357"/>
      <c r="AL22" s="357"/>
    </row>
    <row r="23" spans="2:38" ht="13.5" thickTop="1" x14ac:dyDescent="0.2">
      <c r="B23" s="770" t="str">
        <f>IF(T9&lt;&gt;"OK","Caution - Landing Weight",IF(T10&lt;&gt;"OK","Watch Early Landing Weight",""))</f>
        <v/>
      </c>
      <c r="C23" s="772" t="str">
        <f ca="1">IF(OR(AC17="out",AG17="out"),"CAUTION:   Wt or CG Out of Limits","")</f>
        <v/>
      </c>
      <c r="D23" s="772"/>
      <c r="E23" s="772"/>
      <c r="F23" s="772"/>
      <c r="G23" s="773"/>
      <c r="H23" s="605"/>
      <c r="K23" s="10" t="s">
        <v>64</v>
      </c>
      <c r="R23" s="358"/>
      <c r="S23" s="601" t="str">
        <f t="shared" si="1"/>
        <v>Ln23</v>
      </c>
      <c r="T23" s="391"/>
      <c r="U23" s="550" t="s">
        <v>23</v>
      </c>
      <c r="V23" s="391"/>
      <c r="W23" s="392"/>
      <c r="X23" s="391"/>
      <c r="Y23" s="393" t="s">
        <v>177</v>
      </c>
      <c r="Z23" s="357"/>
      <c r="AA23" s="271" t="s">
        <v>52</v>
      </c>
      <c r="AB23" s="526">
        <f>AC22</f>
        <v>4000</v>
      </c>
      <c r="AC23" s="220">
        <v>4000</v>
      </c>
      <c r="AD23" s="529">
        <f>+AC23-AB23</f>
        <v>0</v>
      </c>
      <c r="AE23" s="531">
        <f>IF(AF23=AF22,AE22,AF22)</f>
        <v>56</v>
      </c>
      <c r="AF23" s="224">
        <v>64</v>
      </c>
      <c r="AG23" s="533">
        <f>AF23-AE23</f>
        <v>8</v>
      </c>
      <c r="AH23" s="534">
        <f>IF(OR(AD23=0,AG23=0),0,ROUND(AG23/AD23,5))</f>
        <v>0</v>
      </c>
      <c r="AI23" s="535">
        <f ca="1">IF(AND(AC18&gt;=AB23,AC18&lt;AC23),AE23+((AC18-AB23)*AH23),AE23)</f>
        <v>56</v>
      </c>
      <c r="AJ23" s="537">
        <f>AJ22</f>
        <v>64</v>
      </c>
      <c r="AK23" s="357"/>
      <c r="AL23" s="357"/>
    </row>
    <row r="24" spans="2:38" ht="15" customHeight="1" x14ac:dyDescent="0.2">
      <c r="B24" s="771"/>
      <c r="C24" s="774"/>
      <c r="D24" s="774"/>
      <c r="E24" s="774"/>
      <c r="F24" s="774"/>
      <c r="G24" s="775"/>
      <c r="H24" s="605"/>
      <c r="K24" s="9" t="s">
        <v>62</v>
      </c>
      <c r="R24" s="358"/>
      <c r="S24" s="401"/>
      <c r="T24" s="401"/>
      <c r="U24" s="401"/>
      <c r="V24" s="401"/>
      <c r="W24" s="401"/>
      <c r="X24" s="401"/>
      <c r="Y24" s="401"/>
      <c r="Z24" s="357"/>
      <c r="AA24" s="272" t="s">
        <v>52</v>
      </c>
      <c r="AB24" s="527">
        <f>AC23</f>
        <v>4000</v>
      </c>
      <c r="AC24" s="221">
        <v>4000</v>
      </c>
      <c r="AD24" s="530">
        <f>+AC24-AB24</f>
        <v>0</v>
      </c>
      <c r="AE24" s="532">
        <f>IF(AF24=AF23,AE23,AF23)</f>
        <v>56</v>
      </c>
      <c r="AF24" s="225">
        <v>64</v>
      </c>
      <c r="AG24" s="538">
        <f>AF24-AE24</f>
        <v>8</v>
      </c>
      <c r="AH24" s="539">
        <f>IF(OR(AD24=0,AG24=0),0,ROUND(AG24/AD24,5))</f>
        <v>0</v>
      </c>
      <c r="AI24" s="540">
        <f ca="1">IF(AND(AC18&gt;=AB24,AC18&lt;AC24),AE24+((AC18-AB24)*AH24),AE24)</f>
        <v>56</v>
      </c>
      <c r="AJ24" s="541">
        <f>AJ23</f>
        <v>64</v>
      </c>
      <c r="AK24" s="357"/>
      <c r="AL24" s="357"/>
    </row>
    <row r="25" spans="2:38" ht="15" customHeight="1" x14ac:dyDescent="0.2">
      <c r="B25" s="34" t="str">
        <f>IF(AND(T57&lt;&gt;"OK",T53&lt;&gt;"OK"),"Enter Fuel on Board","")</f>
        <v/>
      </c>
      <c r="C25" s="776" t="str">
        <f>IF(T58&lt;&gt;"OK","Fuel &lt;1-HR Reserve","")</f>
        <v/>
      </c>
      <c r="D25" s="776"/>
      <c r="E25" s="776"/>
      <c r="F25" s="776"/>
      <c r="G25" s="777"/>
      <c r="H25" s="606"/>
      <c r="K25" s="20" t="str">
        <f>"Pilot -      "&amp;C7&amp;"#"</f>
        <v>Pilot -      #</v>
      </c>
      <c r="R25" s="358"/>
      <c r="S25" s="370" t="s">
        <v>159</v>
      </c>
      <c r="T25" s="371"/>
      <c r="U25" s="371"/>
      <c r="V25" s="371"/>
      <c r="W25" s="372" t="s">
        <v>2</v>
      </c>
      <c r="X25" s="372" t="s">
        <v>1</v>
      </c>
      <c r="Y25" s="373" t="s">
        <v>179</v>
      </c>
      <c r="Z25" s="357"/>
      <c r="AA25" s="357"/>
      <c r="AB25" s="357"/>
      <c r="AC25" s="357"/>
      <c r="AD25" s="357"/>
      <c r="AE25" s="357"/>
      <c r="AF25" s="357"/>
      <c r="AG25" s="357"/>
      <c r="AH25" s="357"/>
      <c r="AI25" s="357"/>
      <c r="AJ25" s="357"/>
      <c r="AK25" s="357"/>
      <c r="AL25" s="357"/>
    </row>
    <row r="26" spans="2:38" ht="15" customHeight="1" x14ac:dyDescent="0.2">
      <c r="B26" s="77" t="str">
        <f>IF(AND(T57&lt;&gt;"OK",T54&lt;&gt;"OK"),"Enter GPH Usage","")</f>
        <v/>
      </c>
      <c r="C26" s="836" t="str">
        <f>IF(OR(T18&lt;&gt;"OK",T56&lt;&gt;"OK"),"Fuel Usage Error","")</f>
        <v/>
      </c>
      <c r="D26" s="836"/>
      <c r="E26" s="836"/>
      <c r="F26" s="836"/>
      <c r="G26" s="837"/>
      <c r="H26" s="607"/>
      <c r="K26" s="20" t="str">
        <f>"R Front -   "&amp;IF(F7=0,"  ---",F7&amp;"#")</f>
        <v>R Front -     ---</v>
      </c>
      <c r="R26" s="358"/>
      <c r="S26" s="601" t="str">
        <f t="shared" si="1"/>
        <v>Ln26</v>
      </c>
      <c r="T26" s="391"/>
      <c r="U26" s="470" t="s">
        <v>32</v>
      </c>
      <c r="V26" s="378"/>
      <c r="W26" s="603">
        <v>38</v>
      </c>
      <c r="X26" s="391"/>
      <c r="Y26" s="393" t="s">
        <v>176</v>
      </c>
      <c r="Z26" s="357"/>
      <c r="AA26" s="357"/>
      <c r="AB26" s="357"/>
      <c r="AC26" s="357"/>
      <c r="AD26" s="357"/>
      <c r="AE26" s="357"/>
      <c r="AF26" s="357"/>
      <c r="AG26" s="357"/>
      <c r="AH26" s="357"/>
      <c r="AI26" s="357"/>
      <c r="AJ26" s="357"/>
      <c r="AK26" s="357"/>
      <c r="AL26" s="357"/>
    </row>
    <row r="27" spans="2:38" ht="15" customHeight="1" thickBot="1" x14ac:dyDescent="0.25">
      <c r="B27" s="78" t="str">
        <f>IF(AND(T57&lt;&gt;"OK",T55&lt;&gt;"OK"),"Enter FLIGHT TIME","")</f>
        <v/>
      </c>
      <c r="C27" s="780" t="str">
        <f>IF(T51&lt;&gt;"OK","Load PILOT SEAT","")</f>
        <v/>
      </c>
      <c r="D27" s="780"/>
      <c r="E27" s="780"/>
      <c r="F27" s="780"/>
      <c r="G27" s="781"/>
      <c r="H27" s="608"/>
      <c r="K27" s="20" t="str">
        <f>"L  Row 2 -   "&amp;IF(C9=0,"  ---",C9&amp;"#")</f>
        <v>L  Row 2 -     ---</v>
      </c>
      <c r="R27" s="358"/>
      <c r="S27" s="601" t="str">
        <f t="shared" si="1"/>
        <v>Ln27</v>
      </c>
      <c r="T27" s="391"/>
      <c r="U27" s="470" t="s">
        <v>84</v>
      </c>
      <c r="V27" s="378"/>
      <c r="W27" s="603">
        <v>69.8</v>
      </c>
      <c r="X27" s="391"/>
      <c r="Y27" s="393" t="s">
        <v>176</v>
      </c>
      <c r="Z27" s="357"/>
      <c r="AA27" s="357"/>
      <c r="AB27" s="357"/>
      <c r="AC27" s="357"/>
      <c r="AD27" s="357"/>
      <c r="AE27" s="357"/>
      <c r="AF27" s="357"/>
      <c r="AG27" s="357"/>
      <c r="AH27" s="357"/>
      <c r="AI27" s="357"/>
      <c r="AJ27" s="357"/>
      <c r="AK27" s="357"/>
      <c r="AL27" s="357"/>
    </row>
    <row r="28" spans="2:38" ht="15" customHeight="1" thickTop="1" x14ac:dyDescent="0.3">
      <c r="K28" s="20" t="str">
        <f>"R  Row 2 -   "&amp;IF(F9=0,"  ---",F9&amp;"#")</f>
        <v>R  Row 2 -     ---</v>
      </c>
      <c r="R28" s="358"/>
      <c r="S28" s="601" t="str">
        <f t="shared" si="1"/>
        <v>Ln28</v>
      </c>
      <c r="T28" s="391"/>
      <c r="U28" s="470" t="s">
        <v>85</v>
      </c>
      <c r="V28" s="378"/>
      <c r="W28" s="603">
        <v>99.3</v>
      </c>
      <c r="X28" s="391"/>
      <c r="Y28" s="393" t="s">
        <v>176</v>
      </c>
      <c r="Z28" s="357"/>
      <c r="AA28" s="357"/>
      <c r="AB28" s="472"/>
      <c r="AC28" s="473"/>
      <c r="AD28" s="474" t="s">
        <v>165</v>
      </c>
      <c r="AE28" s="371"/>
      <c r="AF28" s="371"/>
      <c r="AG28" s="371"/>
      <c r="AH28" s="371"/>
      <c r="AI28" s="371"/>
      <c r="AJ28" s="357"/>
      <c r="AK28" s="357"/>
      <c r="AL28" s="357"/>
    </row>
    <row r="29" spans="2:38" ht="15" customHeight="1" thickBot="1" x14ac:dyDescent="0.3">
      <c r="B29" s="60" t="s">
        <v>79</v>
      </c>
      <c r="K29" s="20" t="str">
        <f>"L  Row 3 -   "&amp;IF(C11=0,"  ---",C11&amp;"#")</f>
        <v>L  Row 3 -     ---</v>
      </c>
      <c r="R29" s="358"/>
      <c r="S29" s="601" t="str">
        <f t="shared" si="1"/>
        <v>Ln29</v>
      </c>
      <c r="T29" s="391"/>
      <c r="U29" s="470" t="s">
        <v>86</v>
      </c>
      <c r="V29" s="378"/>
      <c r="W29" s="603">
        <v>127.8</v>
      </c>
      <c r="X29" s="391"/>
      <c r="Y29" s="393" t="s">
        <v>176</v>
      </c>
      <c r="Z29" s="357"/>
      <c r="AA29" s="357"/>
      <c r="AB29" s="357"/>
      <c r="AC29" s="357"/>
      <c r="AD29" s="357"/>
      <c r="AE29" s="382" t="s">
        <v>162</v>
      </c>
      <c r="AF29" s="357"/>
      <c r="AG29" s="357"/>
      <c r="AH29" s="357"/>
      <c r="AI29" s="473"/>
      <c r="AJ29" s="357"/>
      <c r="AK29" s="357"/>
      <c r="AL29" s="357"/>
    </row>
    <row r="30" spans="2:38" ht="12.75" customHeight="1" thickTop="1" thickBot="1" x14ac:dyDescent="0.25">
      <c r="B30" s="22" t="s">
        <v>127</v>
      </c>
      <c r="D30" s="782">
        <f>W42+(L16*-1)</f>
        <v>1598</v>
      </c>
      <c r="E30" s="838"/>
      <c r="F30" s="783"/>
      <c r="G30" s="784" t="str">
        <f>"( "&amp;TEXT(W42,"#,##0")&amp;"+"&amp;L16*-1&amp;" )"</f>
        <v>( 1,588+10 )</v>
      </c>
      <c r="H30" s="839"/>
      <c r="I30" s="785"/>
      <c r="J30" s="785"/>
      <c r="K30" s="20" t="str">
        <f>"R  Row 3 -   "&amp;IF(F11=0,"  ---",F11&amp;"#")</f>
        <v>R  Row 3 -     ---</v>
      </c>
      <c r="R30" s="358"/>
      <c r="S30" s="357"/>
      <c r="T30" s="370"/>
      <c r="U30" s="370" t="s">
        <v>234</v>
      </c>
      <c r="V30" s="370"/>
      <c r="W30" s="614" t="s">
        <v>238</v>
      </c>
      <c r="X30" s="370" t="s">
        <v>235</v>
      </c>
      <c r="Y30" s="370"/>
      <c r="Z30" s="357"/>
      <c r="AA30" s="476"/>
      <c r="AB30" s="477"/>
      <c r="AC30" s="478">
        <v>4000</v>
      </c>
      <c r="AD30" s="41"/>
      <c r="AE30" s="403">
        <f>AC30</f>
        <v>4000</v>
      </c>
      <c r="AF30" s="357"/>
      <c r="AG30" s="41"/>
      <c r="AH30" s="479">
        <v>56</v>
      </c>
      <c r="AI30" s="41"/>
      <c r="AJ30" s="390">
        <v>64</v>
      </c>
      <c r="AK30" s="357"/>
      <c r="AL30" s="357"/>
    </row>
    <row r="31" spans="2:38" ht="13.5" thickBot="1" x14ac:dyDescent="0.25">
      <c r="B31" s="22" t="s">
        <v>126</v>
      </c>
      <c r="D31" s="786">
        <f>SUM(L8:L14)</f>
        <v>0</v>
      </c>
      <c r="E31" s="826"/>
      <c r="F31" s="787"/>
      <c r="K31" s="20" t="str">
        <f>"L  Row 4 -   "&amp;IF(C13=0,"  ---",C13&amp;"#")</f>
        <v>L  Row 4 -     ---</v>
      </c>
      <c r="R31" s="358"/>
      <c r="S31" s="601" t="str">
        <f t="shared" si="1"/>
        <v>Ln31</v>
      </c>
      <c r="T31" s="391"/>
      <c r="U31" s="470" t="s">
        <v>32</v>
      </c>
      <c r="V31" s="602"/>
      <c r="W31" s="615">
        <f>IF(H8=TRUE,1,0)</f>
        <v>0</v>
      </c>
      <c r="X31" s="603">
        <v>21.2</v>
      </c>
      <c r="Y31" s="391"/>
      <c r="Z31" s="357"/>
      <c r="AA31" s="543"/>
      <c r="AB31" s="82"/>
      <c r="AC31" s="41"/>
      <c r="AD31" s="41"/>
      <c r="AE31" s="41"/>
      <c r="AF31" s="357"/>
      <c r="AG31" s="41"/>
      <c r="AH31" s="41"/>
      <c r="AI31" s="41"/>
      <c r="AJ31" s="41"/>
      <c r="AK31" s="357"/>
      <c r="AL31" s="357"/>
    </row>
    <row r="32" spans="2:38" ht="13.5" x14ac:dyDescent="0.25">
      <c r="B32" s="22" t="str">
        <f>IF(D31&lt;=D30,"Lbs before overweight","OVERWEIGHT")</f>
        <v>Lbs before overweight</v>
      </c>
      <c r="D32" s="788">
        <f>ABS(D30-D31)</f>
        <v>1598</v>
      </c>
      <c r="E32" s="824"/>
      <c r="F32" s="789"/>
      <c r="G32" s="790" t="str">
        <f>IF(D31&gt;D30,"# Over","")</f>
        <v/>
      </c>
      <c r="H32" s="825"/>
      <c r="I32" s="791"/>
      <c r="J32" s="791"/>
      <c r="K32" s="20" t="str">
        <f>"R  Row 4 -   "&amp;IF(F13=0,"  ---",F13&amp;"#")</f>
        <v>R  Row 4 -     ---</v>
      </c>
      <c r="R32" s="358"/>
      <c r="S32" s="601" t="str">
        <f t="shared" si="1"/>
        <v>Ln32</v>
      </c>
      <c r="T32" s="391"/>
      <c r="U32" s="470" t="s">
        <v>84</v>
      </c>
      <c r="V32" s="602"/>
      <c r="W32" s="615">
        <f>IF(AND(E10=TRUE,H10=TRUE),2,IF(E10=TRUE,1,IF(H10=TRUE,1,0)))</f>
        <v>0</v>
      </c>
      <c r="X32" s="603">
        <v>13.9</v>
      </c>
      <c r="Y32" s="391"/>
      <c r="Z32" s="357"/>
      <c r="AA32" s="481" t="s">
        <v>155</v>
      </c>
      <c r="AB32" s="82"/>
      <c r="AC32" s="41"/>
      <c r="AD32" s="41"/>
      <c r="AE32" s="41"/>
      <c r="AF32" s="357"/>
      <c r="AG32" s="41"/>
      <c r="AH32" s="41"/>
      <c r="AI32" s="41"/>
      <c r="AJ32" s="41"/>
      <c r="AK32" s="357"/>
      <c r="AL32" s="357"/>
    </row>
    <row r="33" spans="2:38" ht="13.5" x14ac:dyDescent="0.25">
      <c r="K33" s="20" t="str">
        <f>"Bag 1 -   "&amp;IF(C15=0,"  ---",C15&amp;"#")</f>
        <v>Bag 1 -     ---</v>
      </c>
      <c r="R33" s="358"/>
      <c r="S33" s="601" t="str">
        <f t="shared" si="1"/>
        <v>Ln33</v>
      </c>
      <c r="T33" s="391"/>
      <c r="U33" s="470" t="s">
        <v>85</v>
      </c>
      <c r="V33" s="602"/>
      <c r="W33" s="615">
        <f>IF(AND(E12=TRUE,H12=TRUE),2,IF(E12=TRUE,1,IF(H12=TRUE,1,0)))</f>
        <v>0</v>
      </c>
      <c r="X33" s="603">
        <v>13.9</v>
      </c>
      <c r="Y33" s="391"/>
      <c r="Z33" s="357"/>
      <c r="AA33" s="481" t="s">
        <v>50</v>
      </c>
      <c r="AB33" s="82"/>
      <c r="AC33" s="766" t="s">
        <v>1</v>
      </c>
      <c r="AD33" s="766"/>
      <c r="AE33" s="41"/>
      <c r="AF33" s="357"/>
      <c r="AG33" s="41"/>
      <c r="AH33" s="766" t="s">
        <v>154</v>
      </c>
      <c r="AI33" s="766"/>
      <c r="AJ33" s="41"/>
      <c r="AK33" s="357"/>
      <c r="AL33" s="357"/>
    </row>
    <row r="34" spans="2:38" ht="13.5" x14ac:dyDescent="0.25">
      <c r="K34" s="20" t="str">
        <f>"Bag 2 -   "&amp;IF(C16=0,"  ---",C16&amp;"#")</f>
        <v>Bag 2 -     ---</v>
      </c>
      <c r="R34" s="358"/>
      <c r="S34" s="601" t="str">
        <f t="shared" si="1"/>
        <v>Ln34</v>
      </c>
      <c r="T34" s="391"/>
      <c r="U34" s="470" t="s">
        <v>86</v>
      </c>
      <c r="V34" s="602"/>
      <c r="W34" s="615">
        <f>IF(AND(E14=TRUE,H14=TRUE),2,IF(E14=TRUE,1,IF(H14=TRUE,1,0)))</f>
        <v>0</v>
      </c>
      <c r="X34" s="603">
        <v>13.9</v>
      </c>
      <c r="Y34" s="391"/>
      <c r="Z34" s="357"/>
      <c r="AA34" s="481" t="s">
        <v>56</v>
      </c>
      <c r="AB34" s="478">
        <v>2400</v>
      </c>
      <c r="AC34" s="766" t="s">
        <v>153</v>
      </c>
      <c r="AD34" s="766"/>
      <c r="AE34" s="41"/>
      <c r="AF34" s="357"/>
      <c r="AG34" s="628">
        <f>AG38</f>
        <v>48</v>
      </c>
      <c r="AH34" s="766" t="s">
        <v>153</v>
      </c>
      <c r="AI34" s="766"/>
      <c r="AJ34" s="41"/>
      <c r="AK34" s="357"/>
      <c r="AL34" s="357"/>
    </row>
    <row r="35" spans="2:38" ht="13.9" customHeight="1" x14ac:dyDescent="0.25">
      <c r="K35" s="619" t="str">
        <f>IF(SUM(W31:W34)&gt;0,"NOTE:","")</f>
        <v/>
      </c>
      <c r="R35" s="358"/>
      <c r="S35" s="357"/>
      <c r="T35" s="370" t="s">
        <v>237</v>
      </c>
      <c r="U35" s="370"/>
      <c r="V35" s="370"/>
      <c r="W35" s="372" t="s">
        <v>2</v>
      </c>
      <c r="X35" s="372" t="s">
        <v>1</v>
      </c>
      <c r="Y35" s="370"/>
      <c r="Z35" s="357"/>
      <c r="AA35" s="481" t="s">
        <v>57</v>
      </c>
      <c r="AB35" s="82"/>
      <c r="AC35" s="41"/>
      <c r="AD35" s="41"/>
      <c r="AE35" s="767" t="s">
        <v>157</v>
      </c>
      <c r="AF35" s="357"/>
      <c r="AG35" s="41"/>
      <c r="AH35" s="41"/>
      <c r="AI35" s="41"/>
      <c r="AJ35" s="767" t="s">
        <v>157</v>
      </c>
      <c r="AK35" s="357"/>
      <c r="AL35" s="357"/>
    </row>
    <row r="36" spans="2:38" ht="13.5" x14ac:dyDescent="0.25">
      <c r="K36" s="20" t="str">
        <f>IF(SUM(W31:W34)&gt;0,SUM(W31:W34)&amp;" seats removed from","")</f>
        <v/>
      </c>
      <c r="R36" s="358"/>
      <c r="S36" s="601" t="str">
        <f t="shared" si="1"/>
        <v>Ln36</v>
      </c>
      <c r="T36" s="83" t="str">
        <f>IF(C15&gt;X36,"ERR","OK")</f>
        <v>OK</v>
      </c>
      <c r="U36" s="456" t="s">
        <v>38</v>
      </c>
      <c r="V36" s="512"/>
      <c r="W36" s="603">
        <v>148.30000000000001</v>
      </c>
      <c r="X36" s="84">
        <v>250</v>
      </c>
      <c r="Y36" s="391"/>
      <c r="Z36" s="357"/>
      <c r="AA36" s="481" t="s">
        <v>156</v>
      </c>
      <c r="AB36" s="82"/>
      <c r="AC36" s="41"/>
      <c r="AD36" s="41"/>
      <c r="AE36" s="767"/>
      <c r="AF36" s="357"/>
      <c r="AG36" s="41"/>
      <c r="AH36" s="41"/>
      <c r="AI36" s="41"/>
      <c r="AJ36" s="767"/>
      <c r="AK36" s="357"/>
      <c r="AL36" s="357"/>
    </row>
    <row r="37" spans="2:38" ht="13.5" x14ac:dyDescent="0.25">
      <c r="K37" s="20" t="str">
        <f>IF(SUM(W31:W34)&gt;0,"    row(s) "&amp;IF(W31&gt;0," 1 ","")&amp;IF(W32&gt;0," 2 ","")&amp;IF(W33&gt;0," 3 ","")&amp;IF(W34&gt;0," 4 ",""),"")</f>
        <v/>
      </c>
      <c r="R37" s="358"/>
      <c r="S37" s="601" t="str">
        <f t="shared" si="1"/>
        <v>Ln37</v>
      </c>
      <c r="T37" s="83" t="str">
        <f>IF(C16&gt;X37,"ERR","OK")</f>
        <v>OK</v>
      </c>
      <c r="U37" s="456" t="s">
        <v>39</v>
      </c>
      <c r="V37" s="512"/>
      <c r="W37" s="603">
        <v>182</v>
      </c>
      <c r="X37" s="84">
        <v>50</v>
      </c>
      <c r="Y37" s="391"/>
      <c r="Z37" s="357"/>
      <c r="AA37" s="481" t="s">
        <v>47</v>
      </c>
      <c r="AB37" s="82"/>
      <c r="AC37" s="41"/>
      <c r="AD37" s="41"/>
      <c r="AE37" s="768"/>
      <c r="AF37" s="357"/>
      <c r="AG37" s="41"/>
      <c r="AH37" s="41"/>
      <c r="AI37" s="41"/>
      <c r="AJ37" s="768"/>
      <c r="AK37" s="357"/>
      <c r="AL37" s="357"/>
    </row>
    <row r="38" spans="2:38" x14ac:dyDescent="0.2">
      <c r="K38" s="620" t="s">
        <v>63</v>
      </c>
      <c r="R38" s="358"/>
      <c r="S38" s="601" t="str">
        <f t="shared" si="1"/>
        <v>Ln38</v>
      </c>
      <c r="T38" s="511" t="str">
        <f>IF(X38="","OK",IF(C15+C16&gt;X38,"ERR","OK"))</f>
        <v>OK</v>
      </c>
      <c r="U38" s="470" t="s">
        <v>30</v>
      </c>
      <c r="V38" s="512"/>
      <c r="W38" s="471"/>
      <c r="X38" s="468"/>
      <c r="Y38" s="391"/>
      <c r="Z38" s="357"/>
      <c r="AA38" s="542"/>
      <c r="AB38" s="478">
        <v>2100</v>
      </c>
      <c r="AC38" s="41"/>
      <c r="AD38" s="41"/>
      <c r="AE38" s="403">
        <f>AE30</f>
        <v>4000</v>
      </c>
      <c r="AF38" s="357"/>
      <c r="AG38" s="489">
        <v>48</v>
      </c>
      <c r="AH38" s="82"/>
      <c r="AI38" s="82"/>
      <c r="AJ38" s="490">
        <f>AJ30</f>
        <v>64</v>
      </c>
      <c r="AK38" s="357"/>
      <c r="AL38" s="357"/>
    </row>
    <row r="39" spans="2:38" ht="14.25" thickBot="1" x14ac:dyDescent="0.3">
      <c r="K39" s="20" t="str">
        <f>"Start:  "&amp;TEXT(D18,("##0"))&amp;" USG"</f>
        <v>Start:  0 USG</v>
      </c>
      <c r="R39" s="358"/>
      <c r="S39" s="357"/>
      <c r="T39" s="357"/>
      <c r="U39" s="357"/>
      <c r="V39" s="357"/>
      <c r="W39" s="357"/>
      <c r="X39" s="357"/>
      <c r="Y39" s="357"/>
      <c r="Z39" s="357"/>
      <c r="AA39" s="494"/>
      <c r="AB39" s="495"/>
      <c r="AC39" s="41"/>
      <c r="AD39" s="41"/>
      <c r="AE39" s="41"/>
      <c r="AF39" s="357"/>
      <c r="AG39" s="496"/>
      <c r="AH39" s="769" t="s">
        <v>161</v>
      </c>
      <c r="AI39" s="769"/>
      <c r="AJ39" s="497"/>
      <c r="AK39" s="357"/>
      <c r="AL39" s="357"/>
    </row>
    <row r="40" spans="2:38" ht="13.5" thickTop="1" x14ac:dyDescent="0.2">
      <c r="K40" s="20" t="str">
        <f>"Used:    "&amp;TEXT(D21,("##0"))&amp;" USG"</f>
        <v>Used:    0 USG</v>
      </c>
      <c r="R40" s="358"/>
      <c r="S40" s="357"/>
      <c r="T40" s="357"/>
      <c r="U40" s="357"/>
      <c r="V40" s="357"/>
      <c r="W40" s="357"/>
      <c r="X40" s="357"/>
      <c r="Y40" s="357"/>
      <c r="Z40" s="357"/>
      <c r="AA40" s="357"/>
      <c r="AB40" s="357"/>
      <c r="AC40" s="357"/>
      <c r="AD40" s="357"/>
      <c r="AE40" s="357"/>
      <c r="AF40" s="357"/>
      <c r="AG40" s="357"/>
      <c r="AH40" s="357"/>
      <c r="AI40" s="357"/>
      <c r="AJ40" s="357"/>
      <c r="AK40" s="357"/>
      <c r="AL40" s="357"/>
    </row>
    <row r="41" spans="2:38" ht="13.5" thickBot="1" x14ac:dyDescent="0.25">
      <c r="B41" s="618" t="str">
        <f>IF(W31&gt;0,"Row 1 Seat Removed","")</f>
        <v/>
      </c>
      <c r="K41" s="20" t="str">
        <f>"Reserve:  "&amp;D18-D21&amp;" USG"</f>
        <v>Reserve:  0 USG</v>
      </c>
      <c r="R41" s="358"/>
      <c r="S41" s="370" t="s">
        <v>160</v>
      </c>
      <c r="T41" s="371"/>
      <c r="U41" s="371"/>
      <c r="V41" s="371"/>
      <c r="W41" s="482" t="s">
        <v>1</v>
      </c>
      <c r="X41" s="357"/>
      <c r="Y41" s="357"/>
      <c r="Z41" s="357"/>
      <c r="AA41" s="237"/>
      <c r="AB41" s="237"/>
      <c r="AC41" s="290" t="str">
        <f>IF(W8=W10,"OK",IF(AC42&gt;W10,"OUT","OK"))</f>
        <v>OK</v>
      </c>
      <c r="AD41" s="250"/>
      <c r="AE41" s="237"/>
      <c r="AF41" s="237"/>
      <c r="AG41" s="290" t="str">
        <f>IF(W8=W10,"OK",IF(AND(AG42&gt;=AI42,AG42&lt;=AJ42),"OK","OUT"))</f>
        <v>OK</v>
      </c>
      <c r="AH41" s="237"/>
      <c r="AI41" s="237"/>
      <c r="AJ41" s="237"/>
      <c r="AK41" s="357"/>
      <c r="AL41" s="357"/>
    </row>
    <row r="42" spans="2:38" ht="14.25" thickTop="1" thickBot="1" x14ac:dyDescent="0.25">
      <c r="B42" s="618" t="str">
        <f t="shared" ref="B42:B44" si="2">IF(W32&gt;0,"Row 1 Seat Removed","")</f>
        <v/>
      </c>
      <c r="K42" s="620" t="s">
        <v>72</v>
      </c>
      <c r="R42" s="358"/>
      <c r="S42" s="601" t="str">
        <f t="shared" ref="S42:S44" si="3">"Ln"&amp;ROW()</f>
        <v>Ln42</v>
      </c>
      <c r="T42" s="484"/>
      <c r="U42" s="400" t="s">
        <v>77</v>
      </c>
      <c r="V42" s="485"/>
      <c r="W42" s="88">
        <f>ROUNDDOWN(W8-W7,0)</f>
        <v>1588</v>
      </c>
      <c r="X42" s="357"/>
      <c r="Y42" s="357"/>
      <c r="Z42" s="357"/>
      <c r="AA42" s="270" t="s">
        <v>53</v>
      </c>
      <c r="AB42" s="288" t="s">
        <v>1</v>
      </c>
      <c r="AC42" s="320">
        <f ca="1">L20</f>
        <v>2401.4</v>
      </c>
      <c r="AD42" s="236"/>
      <c r="AE42" s="292"/>
      <c r="AF42" s="289" t="s">
        <v>40</v>
      </c>
      <c r="AG42" s="320">
        <f ca="1">M21</f>
        <v>53.039893395519272</v>
      </c>
      <c r="AH42" s="287" t="s">
        <v>61</v>
      </c>
      <c r="AI42" s="321">
        <f ca="1">VLOOKUP(AC42,AB45:AJ48,8)</f>
        <v>48.006999999999998</v>
      </c>
      <c r="AJ42" s="322">
        <f ca="1">VLOOKUP(AC42,AB45:AJ48,9)</f>
        <v>64</v>
      </c>
      <c r="AK42" s="357"/>
      <c r="AL42" s="357"/>
    </row>
    <row r="43" spans="2:38" ht="13.5" thickTop="1" x14ac:dyDescent="0.2">
      <c r="B43" s="618" t="str">
        <f t="shared" si="2"/>
        <v/>
      </c>
      <c r="K43" s="63" t="str">
        <f>IF(V47="","","Max Flight (NO Res)")</f>
        <v/>
      </c>
      <c r="R43" s="358"/>
      <c r="S43" s="601" t="str">
        <f t="shared" si="3"/>
        <v>Ln43</v>
      </c>
      <c r="T43" s="484"/>
      <c r="U43" s="400" t="s">
        <v>76</v>
      </c>
      <c r="V43" s="485"/>
      <c r="W43" s="88">
        <f>IF(V19=0,"",W42-X19)</f>
        <v>1192</v>
      </c>
      <c r="X43" s="357"/>
      <c r="Y43" s="357"/>
      <c r="Z43" s="357"/>
      <c r="AA43" s="271" t="s">
        <v>48</v>
      </c>
      <c r="AB43" s="273"/>
      <c r="AC43" s="274" t="s">
        <v>67</v>
      </c>
      <c r="AD43" s="275"/>
      <c r="AE43" s="293"/>
      <c r="AF43" s="273"/>
      <c r="AG43" s="276" t="s">
        <v>66</v>
      </c>
      <c r="AH43" s="273"/>
      <c r="AI43" s="277" t="s">
        <v>46</v>
      </c>
      <c r="AJ43" s="278" t="s">
        <v>46</v>
      </c>
      <c r="AK43" s="357"/>
      <c r="AL43" s="357"/>
    </row>
    <row r="44" spans="2:38" ht="13.5" thickBot="1" x14ac:dyDescent="0.25">
      <c r="B44" s="618" t="str">
        <f t="shared" si="2"/>
        <v/>
      </c>
      <c r="K44" s="21" t="str">
        <f>IF(V47="","","~"&amp;TEXT(U32,("##.0"))&amp;" hrs")</f>
        <v/>
      </c>
      <c r="R44" s="358"/>
      <c r="S44" s="601" t="str">
        <f t="shared" si="3"/>
        <v>Ln44</v>
      </c>
      <c r="T44" s="484"/>
      <c r="U44" s="400" t="s">
        <v>78</v>
      </c>
      <c r="V44" s="487"/>
      <c r="W44" s="88">
        <f>W42-X18</f>
        <v>1066</v>
      </c>
      <c r="X44" s="357"/>
      <c r="Y44" s="357"/>
      <c r="Z44" s="357"/>
      <c r="AA44" s="271" t="s">
        <v>54</v>
      </c>
      <c r="AB44" s="279" t="s">
        <v>41</v>
      </c>
      <c r="AC44" s="279" t="s">
        <v>42</v>
      </c>
      <c r="AD44" s="280" t="s">
        <v>43</v>
      </c>
      <c r="AE44" s="281" t="s">
        <v>41</v>
      </c>
      <c r="AF44" s="282" t="s">
        <v>42</v>
      </c>
      <c r="AG44" s="283" t="s">
        <v>44</v>
      </c>
      <c r="AH44" s="284" t="s">
        <v>45</v>
      </c>
      <c r="AI44" s="285" t="s">
        <v>68</v>
      </c>
      <c r="AJ44" s="286" t="s">
        <v>69</v>
      </c>
      <c r="AK44" s="357"/>
      <c r="AL44" s="357"/>
    </row>
    <row r="45" spans="2:38" ht="14.25" thickTop="1" x14ac:dyDescent="0.25">
      <c r="B45" s="621"/>
      <c r="K45" s="61" t="str">
        <f>IF(V47="","","@ "&amp;TEXT(D19,"##.0")&amp;" GPH")</f>
        <v/>
      </c>
      <c r="R45" s="358"/>
      <c r="S45" s="357"/>
      <c r="T45" s="357"/>
      <c r="U45" s="357"/>
      <c r="V45" s="357"/>
      <c r="W45" s="357"/>
      <c r="X45" s="357"/>
      <c r="Y45" s="357"/>
      <c r="Z45" s="357"/>
      <c r="AA45" s="271" t="s">
        <v>55</v>
      </c>
      <c r="AB45" s="218">
        <f>AB38</f>
        <v>2100</v>
      </c>
      <c r="AC45" s="219">
        <f>AB34</f>
        <v>2400</v>
      </c>
      <c r="AD45" s="528">
        <f>+AC45-AB45</f>
        <v>300</v>
      </c>
      <c r="AE45" s="222">
        <f>AG38</f>
        <v>48</v>
      </c>
      <c r="AF45" s="223">
        <f>AG34</f>
        <v>48</v>
      </c>
      <c r="AG45" s="533">
        <f>AF45-AE45</f>
        <v>0</v>
      </c>
      <c r="AH45" s="534">
        <f>IF(OR(AD45=0,AG45=0),0,ROUND(AG45/AD45,5))</f>
        <v>0</v>
      </c>
      <c r="AI45" s="535">
        <f ca="1">IF(AND(AC42&gt;=AB45,AC42&lt;AC45),AE45+((AC42-AB45)*AH45),AE45)</f>
        <v>48</v>
      </c>
      <c r="AJ45" s="536">
        <f>AF48</f>
        <v>64</v>
      </c>
      <c r="AK45" s="357"/>
      <c r="AL45" s="357"/>
    </row>
    <row r="46" spans="2:38" ht="13.5" x14ac:dyDescent="0.25">
      <c r="B46" s="621"/>
      <c r="K46" s="65" t="str">
        <f>IF(T57&lt;&gt;"OK","","  At end of ")</f>
        <v/>
      </c>
      <c r="R46" s="358"/>
      <c r="S46" s="370" t="s">
        <v>119</v>
      </c>
      <c r="T46" s="371"/>
      <c r="U46" s="482"/>
      <c r="V46" s="488" t="s">
        <v>121</v>
      </c>
      <c r="W46" s="357"/>
      <c r="X46" s="357"/>
      <c r="Y46" s="357"/>
      <c r="Z46" s="357"/>
      <c r="AA46" s="271" t="s">
        <v>56</v>
      </c>
      <c r="AB46" s="526">
        <f>AC45</f>
        <v>2400</v>
      </c>
      <c r="AC46" s="220">
        <f>AC30</f>
        <v>4000</v>
      </c>
      <c r="AD46" s="529">
        <f>+AC46-AB46</f>
        <v>1600</v>
      </c>
      <c r="AE46" s="531">
        <f>IF(AF46=AF45,AE45,AF45)</f>
        <v>48</v>
      </c>
      <c r="AF46" s="224">
        <f>AH30</f>
        <v>56</v>
      </c>
      <c r="AG46" s="533">
        <f>AF46-AE46</f>
        <v>8</v>
      </c>
      <c r="AH46" s="534">
        <f>IF(OR(AD46=0,AG46=0),0,ROUND(AG46/AD46,5))</f>
        <v>5.0000000000000001E-3</v>
      </c>
      <c r="AI46" s="535">
        <f ca="1">IF(AND(AC42&gt;=AB46,AC42&lt;AC46),AE46+((AC42-AB46)*AH46),AE46)</f>
        <v>48.006999999999998</v>
      </c>
      <c r="AJ46" s="537">
        <f>AJ45</f>
        <v>64</v>
      </c>
      <c r="AK46" s="357"/>
      <c r="AL46" s="357"/>
    </row>
    <row r="47" spans="2:38" ht="13.5" x14ac:dyDescent="0.25">
      <c r="B47" s="621"/>
      <c r="K47" s="66" t="str">
        <f>IF(T57&lt;&gt;"OK","",TEXT(D20,"##.0")&amp;" Hr Trip . . ")</f>
        <v/>
      </c>
      <c r="R47" s="358"/>
      <c r="S47" s="601" t="str">
        <f t="shared" ref="S47:S48" si="4">"Ln"&amp;ROW()</f>
        <v>Ln47</v>
      </c>
      <c r="T47" s="491" t="s">
        <v>91</v>
      </c>
      <c r="U47" s="492"/>
      <c r="V47" s="493" t="str">
        <f>IF(AND(D18&gt;0,D19&gt;0),ROUND(D18/D19,3),"")</f>
        <v/>
      </c>
      <c r="W47" s="357"/>
      <c r="X47" s="357"/>
      <c r="Y47" s="357"/>
      <c r="Z47" s="357"/>
      <c r="AA47" s="271" t="s">
        <v>54</v>
      </c>
      <c r="AB47" s="526">
        <f>AC46</f>
        <v>4000</v>
      </c>
      <c r="AC47" s="220">
        <f>AE30</f>
        <v>4000</v>
      </c>
      <c r="AD47" s="529">
        <f>+AC47-AB47</f>
        <v>0</v>
      </c>
      <c r="AE47" s="531">
        <f>IF(AF47=AF46,AE46,AF46)</f>
        <v>56</v>
      </c>
      <c r="AF47" s="224">
        <v>64</v>
      </c>
      <c r="AG47" s="533">
        <f>AF47-AE47</f>
        <v>8</v>
      </c>
      <c r="AH47" s="534">
        <f>IF(OR(AD47=0,AG47=0),0,ROUND(AG47/AD47,5))</f>
        <v>0</v>
      </c>
      <c r="AI47" s="535">
        <f ca="1">IF(AND(AC42&gt;=AB47,AC42&lt;AC47),AE47+((AC42-AB47)*AH47),AE47)</f>
        <v>56</v>
      </c>
      <c r="AJ47" s="537">
        <f>AJ46</f>
        <v>64</v>
      </c>
      <c r="AK47" s="357"/>
      <c r="AL47" s="357"/>
    </row>
    <row r="48" spans="2:38" ht="13.5" x14ac:dyDescent="0.25">
      <c r="B48" s="621"/>
      <c r="K48" s="62" t="str">
        <f>IF(T57&lt;&gt;"OK","","Reserve is ~ "&amp;TEXT(V48,"##.0")&amp;" Hrs")</f>
        <v/>
      </c>
      <c r="R48" s="358"/>
      <c r="S48" s="601" t="str">
        <f t="shared" si="4"/>
        <v>Ln48</v>
      </c>
      <c r="T48" s="491" t="s">
        <v>95</v>
      </c>
      <c r="U48" s="492"/>
      <c r="V48" s="493" t="str">
        <f>IF(AND(D18&gt;0,D19&gt;0,D21&gt;0),ROUND((D18-D21)/D19,3),"")</f>
        <v/>
      </c>
      <c r="W48" s="357"/>
      <c r="X48" s="357"/>
      <c r="Y48" s="357"/>
      <c r="Z48" s="357"/>
      <c r="AA48" s="272" t="s">
        <v>57</v>
      </c>
      <c r="AB48" s="527">
        <f>AC47</f>
        <v>4000</v>
      </c>
      <c r="AC48" s="221">
        <f>AE38</f>
        <v>4000</v>
      </c>
      <c r="AD48" s="530">
        <f>+AC48-AB48</f>
        <v>0</v>
      </c>
      <c r="AE48" s="532">
        <f>IF(AF48=AF47,AE47,AF47)</f>
        <v>56</v>
      </c>
      <c r="AF48" s="225">
        <v>64</v>
      </c>
      <c r="AG48" s="538">
        <f>AF48-AE48</f>
        <v>8</v>
      </c>
      <c r="AH48" s="539">
        <f>IF(OR(AD48=0,AG48=0),0,ROUND(AG48/AD48,5))</f>
        <v>0</v>
      </c>
      <c r="AI48" s="540">
        <f ca="1">IF(AND(AC42&gt;=AB48,AC42&lt;AC48),AE48+((AC42-AB48)*AH48),AE48)</f>
        <v>56</v>
      </c>
      <c r="AJ48" s="541">
        <f>AJ47</f>
        <v>64</v>
      </c>
      <c r="AK48" s="357"/>
      <c r="AL48" s="357"/>
    </row>
    <row r="49" spans="2:38" ht="13.5" x14ac:dyDescent="0.25">
      <c r="B49" s="621"/>
      <c r="K49" s="64" t="str">
        <f>IF(T57&lt;&gt;"OK","",IF(T58&lt;&gt;"OK","Caution: &lt; 1 HR",""))</f>
        <v/>
      </c>
      <c r="R49" s="358"/>
      <c r="S49" s="357"/>
      <c r="T49" s="357"/>
      <c r="U49" s="357"/>
      <c r="V49" s="357"/>
      <c r="W49" s="357"/>
      <c r="X49" s="357"/>
      <c r="Y49" s="357"/>
      <c r="Z49" s="357"/>
      <c r="AA49" s="357"/>
      <c r="AB49" s="357"/>
      <c r="AC49" s="357"/>
      <c r="AD49" s="357"/>
      <c r="AE49" s="357"/>
      <c r="AF49" s="357"/>
      <c r="AG49" s="357"/>
      <c r="AH49" s="357"/>
      <c r="AI49" s="357"/>
      <c r="AJ49" s="357"/>
      <c r="AK49" s="357"/>
      <c r="AL49" s="357"/>
    </row>
    <row r="50" spans="2:38" ht="13.5" x14ac:dyDescent="0.25">
      <c r="B50" s="621"/>
      <c r="R50" s="358"/>
      <c r="S50" s="370" t="s">
        <v>175</v>
      </c>
      <c r="T50" s="371"/>
      <c r="U50" s="482"/>
      <c r="V50" s="482"/>
      <c r="W50" s="357"/>
      <c r="X50" s="357"/>
      <c r="Y50" s="357"/>
      <c r="Z50" s="357"/>
      <c r="AA50" s="357"/>
      <c r="AB50" s="357"/>
      <c r="AC50" s="357"/>
      <c r="AD50" s="357"/>
      <c r="AE50" s="357"/>
      <c r="AF50" s="357"/>
      <c r="AG50" s="357"/>
      <c r="AH50" s="357"/>
      <c r="AI50" s="357"/>
      <c r="AJ50" s="357"/>
      <c r="AK50" s="357"/>
      <c r="AL50" s="357"/>
    </row>
    <row r="51" spans="2:38" ht="14.25" thickBot="1" x14ac:dyDescent="0.3">
      <c r="B51" s="621"/>
      <c r="R51" s="358"/>
      <c r="S51" s="601" t="str">
        <f t="shared" ref="S51:S58" si="5">"Ln"&amp;ROW()</f>
        <v>Ln51</v>
      </c>
      <c r="T51" s="83" t="str">
        <f>IF(AND(C7="",(F7+C9+F9+C11+F11+C13+F13)&gt;0),"WARN","OK")</f>
        <v>OK</v>
      </c>
      <c r="U51" s="504" t="s">
        <v>89</v>
      </c>
      <c r="V51" s="505"/>
      <c r="W51" s="357"/>
      <c r="X51" s="357"/>
      <c r="Y51" s="357"/>
      <c r="Z51" s="357"/>
      <c r="AA51" s="357"/>
      <c r="AB51" s="357"/>
      <c r="AC51" s="357"/>
      <c r="AD51" s="357"/>
      <c r="AE51" s="357"/>
      <c r="AF51" s="357"/>
      <c r="AG51" s="357"/>
      <c r="AH51" s="357"/>
      <c r="AI51" s="357"/>
      <c r="AJ51" s="357"/>
      <c r="AK51" s="357"/>
      <c r="AL51" s="357"/>
    </row>
    <row r="52" spans="2:38" ht="13.5" thickTop="1" x14ac:dyDescent="0.2">
      <c r="J52" s="141"/>
      <c r="K52" s="757" t="str">
        <f>'READ ME'!$O$22</f>
        <v>CAUTION:</v>
      </c>
      <c r="L52"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M52" s="760"/>
      <c r="N52" s="760"/>
      <c r="O52" s="761"/>
      <c r="R52" s="358"/>
      <c r="S52" s="601" t="str">
        <f t="shared" si="5"/>
        <v>Ln52</v>
      </c>
      <c r="T52" s="83" t="str">
        <f>IF(C7+C9+C11+C13+F7+F9+F11+F13&gt;0,"YES","NO")</f>
        <v>NO</v>
      </c>
      <c r="U52" s="504" t="s">
        <v>92</v>
      </c>
      <c r="V52" s="505"/>
      <c r="W52" s="357"/>
      <c r="X52" s="357"/>
      <c r="Y52" s="357"/>
      <c r="Z52" s="357"/>
      <c r="AA52" s="357"/>
      <c r="AB52" s="357"/>
      <c r="AC52" s="357"/>
      <c r="AD52" s="357"/>
      <c r="AE52" s="357"/>
      <c r="AF52" s="357"/>
      <c r="AG52" s="357"/>
      <c r="AH52" s="357"/>
      <c r="AI52" s="357"/>
      <c r="AJ52" s="357"/>
      <c r="AK52" s="357"/>
      <c r="AL52" s="357"/>
    </row>
    <row r="53" spans="2:38" x14ac:dyDescent="0.2">
      <c r="K53" s="758"/>
      <c r="L53" s="762"/>
      <c r="M53" s="762"/>
      <c r="N53" s="762"/>
      <c r="O53" s="763"/>
      <c r="R53" s="358"/>
      <c r="S53" s="601" t="str">
        <f t="shared" si="5"/>
        <v>Ln53</v>
      </c>
      <c r="T53" s="83" t="str">
        <f>IF(AND(C7&gt;0,D18=0),"WARN","OK")</f>
        <v>OK</v>
      </c>
      <c r="U53" s="506" t="s">
        <v>111</v>
      </c>
      <c r="V53" s="507"/>
      <c r="W53" s="357"/>
      <c r="X53" s="357"/>
      <c r="Y53" s="357"/>
      <c r="Z53" s="357"/>
      <c r="AA53" s="357"/>
      <c r="AB53" s="357"/>
      <c r="AC53" s="357"/>
      <c r="AD53" s="357"/>
      <c r="AE53" s="357"/>
      <c r="AF53" s="357"/>
      <c r="AG53" s="357"/>
      <c r="AH53" s="357"/>
      <c r="AI53" s="357"/>
      <c r="AJ53" s="357"/>
      <c r="AK53" s="357"/>
      <c r="AL53" s="357"/>
    </row>
    <row r="54" spans="2:38" ht="13.5" thickBot="1" x14ac:dyDescent="0.25">
      <c r="K54" s="759"/>
      <c r="L54" s="764"/>
      <c r="M54" s="764"/>
      <c r="N54" s="764"/>
      <c r="O54" s="765"/>
      <c r="R54" s="358"/>
      <c r="S54" s="601" t="str">
        <f t="shared" si="5"/>
        <v>Ln54</v>
      </c>
      <c r="T54" s="83" t="str">
        <f>IF(AND(C7&gt;0,D19=0),"WARN","OK")</f>
        <v>OK</v>
      </c>
      <c r="U54" s="506" t="s">
        <v>113</v>
      </c>
      <c r="V54" s="507"/>
      <c r="W54" s="357"/>
      <c r="X54" s="357"/>
      <c r="Y54" s="357"/>
      <c r="Z54" s="357"/>
      <c r="AA54" s="357"/>
      <c r="AB54" s="357"/>
      <c r="AC54" s="357"/>
      <c r="AD54" s="357"/>
      <c r="AE54" s="357"/>
      <c r="AF54" s="357"/>
      <c r="AG54" s="357"/>
      <c r="AH54" s="357"/>
      <c r="AI54" s="357"/>
      <c r="AJ54" s="357"/>
      <c r="AK54" s="357"/>
      <c r="AL54" s="357"/>
    </row>
    <row r="55" spans="2:38" ht="13.5" thickTop="1" x14ac:dyDescent="0.2">
      <c r="K55" s="650" t="str">
        <f>IF(C4&lt;&gt;9999,"","Env "&amp;AB22&amp;" "&amp;AC22&amp;" "&amp;AC23&amp;" "&amp;AC23&amp;" "&amp;AC24&amp;"   "&amp;AE22&amp;" "&amp;AF22&amp;" "&amp;AF23&amp;" "&amp;AF23&amp;" "&amp;AF24)</f>
        <v/>
      </c>
      <c r="R55" s="358"/>
      <c r="S55" s="601" t="str">
        <f t="shared" si="5"/>
        <v>Ln55</v>
      </c>
      <c r="T55" s="83" t="str">
        <f>IF(AND(C7&gt;0,D20=0),"WARN","OK")</f>
        <v>OK</v>
      </c>
      <c r="U55" s="506" t="s">
        <v>112</v>
      </c>
      <c r="V55" s="507"/>
      <c r="W55" s="357"/>
      <c r="X55" s="357"/>
      <c r="Y55" s="357"/>
      <c r="Z55" s="357"/>
      <c r="AA55" s="357"/>
      <c r="AB55" s="357"/>
      <c r="AC55" s="357"/>
      <c r="AD55" s="357"/>
      <c r="AE55" s="357"/>
      <c r="AF55" s="357"/>
      <c r="AG55" s="357"/>
      <c r="AH55" s="357"/>
      <c r="AI55" s="357"/>
      <c r="AJ55" s="357"/>
      <c r="AK55" s="357"/>
      <c r="AL55" s="357"/>
    </row>
    <row r="56" spans="2:38" x14ac:dyDescent="0.2">
      <c r="K56" s="651" t="str">
        <f>IF(C4&lt;&gt;9999,"","Fuel  T "&amp;V19&amp;"   F "&amp;V18&amp;"      Load   0 "&amp;W42&amp;"  T "&amp;W43&amp;"  F "&amp;W44)</f>
        <v/>
      </c>
      <c r="R56" s="358"/>
      <c r="S56" s="601" t="str">
        <f t="shared" si="5"/>
        <v>Ln56</v>
      </c>
      <c r="T56" s="83" t="str">
        <f>IF(D21&gt;D18,"ERR","OK")</f>
        <v>OK</v>
      </c>
      <c r="U56" s="506" t="s">
        <v>94</v>
      </c>
      <c r="V56" s="507"/>
      <c r="W56" s="357"/>
      <c r="X56" s="357"/>
      <c r="Y56" s="357"/>
      <c r="Z56" s="357"/>
      <c r="AA56" s="357"/>
      <c r="AB56" s="357"/>
      <c r="AC56" s="357"/>
      <c r="AD56" s="357"/>
      <c r="AE56" s="357"/>
      <c r="AF56" s="357"/>
      <c r="AG56" s="357"/>
      <c r="AH56" s="357"/>
      <c r="AI56" s="357"/>
      <c r="AJ56" s="357"/>
      <c r="AK56" s="357"/>
      <c r="AL56" s="357"/>
    </row>
    <row r="57" spans="2:38" x14ac:dyDescent="0.2">
      <c r="R57" s="358"/>
      <c r="S57" s="601" t="str">
        <f t="shared" si="5"/>
        <v>Ln57</v>
      </c>
      <c r="T57" s="83" t="str">
        <f>IF(OR(D18=0,D19=0,D20=0),"INFO","OK")</f>
        <v>INFO</v>
      </c>
      <c r="U57" s="506" t="s">
        <v>110</v>
      </c>
      <c r="V57" s="507"/>
      <c r="W57" s="357"/>
      <c r="X57" s="357"/>
      <c r="Y57" s="357"/>
      <c r="Z57" s="357"/>
      <c r="AA57" s="357"/>
      <c r="AB57" s="357"/>
      <c r="AC57" s="357"/>
      <c r="AD57" s="357"/>
      <c r="AE57" s="357"/>
      <c r="AF57" s="357"/>
      <c r="AG57" s="357"/>
      <c r="AH57" s="357"/>
      <c r="AI57" s="357"/>
      <c r="AJ57" s="357"/>
      <c r="AK57" s="357"/>
      <c r="AL57" s="357"/>
    </row>
    <row r="58" spans="2:38" x14ac:dyDescent="0.2">
      <c r="R58" s="358"/>
      <c r="S58" s="601" t="str">
        <f t="shared" si="5"/>
        <v>Ln58</v>
      </c>
      <c r="T58" s="83" t="str">
        <f>IF(AND(D18&gt;0,D19&gt;0,D20&gt;0,V48&lt;1),"WARN","OK")</f>
        <v>OK</v>
      </c>
      <c r="U58" s="506" t="s">
        <v>90</v>
      </c>
      <c r="V58" s="507"/>
      <c r="W58" s="357"/>
      <c r="X58" s="357"/>
      <c r="Y58" s="357"/>
      <c r="Z58" s="357"/>
      <c r="AA58" s="357"/>
      <c r="AB58" s="357"/>
      <c r="AC58" s="357"/>
      <c r="AD58" s="357"/>
      <c r="AE58" s="357"/>
      <c r="AF58" s="357"/>
      <c r="AG58" s="357"/>
      <c r="AH58" s="357"/>
      <c r="AI58" s="357"/>
      <c r="AJ58" s="357"/>
      <c r="AK58" s="357"/>
      <c r="AL58" s="357"/>
    </row>
    <row r="59" spans="2:38" x14ac:dyDescent="0.2">
      <c r="R59" s="358"/>
      <c r="S59" s="375"/>
      <c r="T59" s="357"/>
      <c r="U59" s="357"/>
      <c r="V59" s="357"/>
      <c r="W59" s="357"/>
      <c r="X59" s="357"/>
      <c r="Y59" s="357"/>
      <c r="Z59" s="357"/>
      <c r="AA59" s="357"/>
      <c r="AB59" s="357"/>
      <c r="AC59" s="357"/>
      <c r="AD59" s="357"/>
      <c r="AE59" s="357"/>
      <c r="AF59" s="357"/>
      <c r="AG59" s="357"/>
      <c r="AH59" s="357"/>
      <c r="AI59" s="357"/>
      <c r="AJ59" s="357"/>
      <c r="AK59" s="357"/>
      <c r="AL59" s="357"/>
    </row>
    <row r="60" spans="2:38" x14ac:dyDescent="0.2">
      <c r="R60" s="358"/>
      <c r="S60" s="375"/>
      <c r="T60" s="357"/>
      <c r="U60" s="357"/>
      <c r="V60" s="357"/>
      <c r="W60" s="357"/>
      <c r="X60" s="357"/>
      <c r="Y60" s="357"/>
      <c r="Z60" s="357"/>
      <c r="AA60" s="357"/>
      <c r="AB60" s="357"/>
      <c r="AC60" s="357"/>
      <c r="AD60" s="357"/>
      <c r="AE60" s="357"/>
      <c r="AF60" s="357"/>
      <c r="AG60" s="357"/>
      <c r="AH60" s="357"/>
      <c r="AI60" s="357"/>
      <c r="AJ60" s="357"/>
      <c r="AK60" s="357"/>
      <c r="AL60" s="357"/>
    </row>
    <row r="61" spans="2:38" x14ac:dyDescent="0.2">
      <c r="R61" s="358"/>
      <c r="S61" s="375"/>
      <c r="T61" s="357"/>
      <c r="U61" s="357"/>
      <c r="V61" s="357"/>
      <c r="W61" s="357"/>
      <c r="X61" s="357"/>
      <c r="Y61" s="357"/>
      <c r="Z61" s="357"/>
      <c r="AA61" s="357"/>
      <c r="AB61" s="357"/>
      <c r="AC61" s="357"/>
      <c r="AD61" s="357"/>
      <c r="AE61" s="357"/>
      <c r="AF61" s="357"/>
      <c r="AG61" s="357"/>
      <c r="AH61" s="357"/>
      <c r="AI61" s="357"/>
      <c r="AJ61" s="357"/>
      <c r="AK61" s="357"/>
      <c r="AL61" s="357"/>
    </row>
    <row r="62" spans="2:38" x14ac:dyDescent="0.2">
      <c r="R62" s="358"/>
      <c r="S62" s="375"/>
      <c r="T62" s="357"/>
      <c r="U62" s="357"/>
      <c r="V62" s="357"/>
      <c r="W62" s="357"/>
      <c r="X62" s="357"/>
      <c r="Y62" s="357"/>
      <c r="Z62" s="357"/>
      <c r="AA62" s="357"/>
      <c r="AB62" s="357"/>
      <c r="AC62" s="357"/>
      <c r="AD62" s="357"/>
      <c r="AE62" s="357"/>
      <c r="AF62" s="357"/>
      <c r="AG62" s="357"/>
      <c r="AH62" s="357"/>
      <c r="AI62" s="357"/>
      <c r="AJ62" s="357"/>
      <c r="AK62" s="357"/>
      <c r="AL62" s="357"/>
    </row>
    <row r="63" spans="2:38" x14ac:dyDescent="0.2">
      <c r="R63" s="358"/>
      <c r="S63" s="375"/>
      <c r="T63" s="357"/>
      <c r="U63" s="357"/>
      <c r="V63" s="357"/>
      <c r="W63" s="357"/>
      <c r="X63" s="357"/>
      <c r="Y63" s="357"/>
      <c r="Z63" s="357"/>
      <c r="AA63" s="357"/>
      <c r="AB63" s="357"/>
      <c r="AC63" s="357"/>
      <c r="AD63" s="357"/>
      <c r="AE63" s="357"/>
      <c r="AF63" s="357"/>
      <c r="AG63" s="357"/>
      <c r="AH63" s="357"/>
      <c r="AI63" s="357"/>
      <c r="AJ63" s="357"/>
      <c r="AK63" s="357"/>
      <c r="AL63" s="357"/>
    </row>
    <row r="64" spans="2:38" x14ac:dyDescent="0.2">
      <c r="R64" s="358"/>
      <c r="S64" s="375"/>
      <c r="T64" s="357"/>
      <c r="U64" s="357"/>
      <c r="V64" s="357"/>
      <c r="W64" s="357"/>
      <c r="X64" s="357"/>
      <c r="Y64" s="357"/>
      <c r="Z64" s="357"/>
      <c r="AA64" s="357"/>
      <c r="AB64" s="357"/>
      <c r="AC64" s="357"/>
      <c r="AD64" s="357"/>
      <c r="AE64" s="357"/>
      <c r="AF64" s="357"/>
      <c r="AG64" s="357"/>
      <c r="AH64" s="357"/>
      <c r="AI64" s="357"/>
      <c r="AJ64" s="357"/>
      <c r="AK64" s="357"/>
      <c r="AL64" s="357"/>
    </row>
    <row r="65" spans="18:38" x14ac:dyDescent="0.2">
      <c r="R65" s="358"/>
      <c r="S65" s="375"/>
      <c r="T65" s="357"/>
      <c r="U65" s="357"/>
      <c r="V65" s="357"/>
      <c r="W65" s="357"/>
      <c r="X65" s="357"/>
      <c r="Y65" s="357"/>
      <c r="Z65" s="357"/>
      <c r="AA65" s="357"/>
      <c r="AB65" s="357"/>
      <c r="AC65" s="357"/>
      <c r="AD65" s="357"/>
      <c r="AE65" s="357"/>
      <c r="AF65" s="357"/>
      <c r="AG65" s="357"/>
      <c r="AH65" s="357"/>
      <c r="AI65" s="357"/>
      <c r="AJ65" s="357"/>
      <c r="AK65" s="357"/>
      <c r="AL65" s="357"/>
    </row>
    <row r="66" spans="18:38" x14ac:dyDescent="0.2">
      <c r="R66" s="358"/>
      <c r="S66" s="375"/>
      <c r="T66" s="357"/>
      <c r="U66" s="357"/>
      <c r="V66" s="357"/>
      <c r="W66" s="357"/>
      <c r="X66" s="357"/>
      <c r="Y66" s="357"/>
      <c r="Z66" s="357"/>
      <c r="AA66" s="357"/>
      <c r="AB66" s="357"/>
      <c r="AC66" s="357"/>
      <c r="AD66" s="357"/>
      <c r="AE66" s="357"/>
      <c r="AF66" s="357"/>
      <c r="AG66" s="357"/>
      <c r="AH66" s="357"/>
      <c r="AI66" s="357"/>
      <c r="AJ66" s="357"/>
      <c r="AK66" s="357"/>
      <c r="AL66" s="357"/>
    </row>
    <row r="67" spans="18:38" x14ac:dyDescent="0.2">
      <c r="R67" s="358"/>
      <c r="S67" s="375"/>
      <c r="T67" s="357"/>
      <c r="U67" s="357"/>
      <c r="V67" s="357"/>
      <c r="W67" s="357"/>
      <c r="X67" s="357"/>
      <c r="Y67" s="357"/>
      <c r="Z67" s="357"/>
      <c r="AA67" s="357"/>
      <c r="AB67" s="357"/>
      <c r="AC67" s="357"/>
      <c r="AD67" s="357"/>
      <c r="AE67" s="357"/>
      <c r="AF67" s="357"/>
      <c r="AG67" s="357"/>
      <c r="AH67" s="357"/>
      <c r="AI67" s="357"/>
      <c r="AJ67" s="357"/>
      <c r="AK67" s="357"/>
      <c r="AL67" s="357"/>
    </row>
    <row r="68" spans="18:38" x14ac:dyDescent="0.2">
      <c r="R68" s="358"/>
      <c r="S68" s="375"/>
      <c r="T68" s="357"/>
      <c r="U68" s="357"/>
      <c r="V68" s="357"/>
      <c r="W68" s="357"/>
      <c r="X68" s="357"/>
      <c r="Y68" s="357"/>
      <c r="Z68" s="357"/>
      <c r="AA68" s="357"/>
      <c r="AB68" s="357"/>
      <c r="AC68" s="357"/>
      <c r="AD68" s="357"/>
      <c r="AE68" s="357"/>
      <c r="AF68" s="357"/>
      <c r="AG68" s="357"/>
      <c r="AH68" s="357"/>
      <c r="AI68" s="357"/>
      <c r="AJ68" s="357"/>
      <c r="AK68" s="357"/>
      <c r="AL68" s="357"/>
    </row>
  </sheetData>
  <sheetProtection algorithmName="SHA-512" hashValue="Yzqz2e5juX3xvNe6hjBGhsHjfMqWGhwsBXTwMeMnZZhfe5ZxTD/jh2Fem5N+qeijTpTI6tR5Y8MVWiWbLF1C8Q==" saltValue="edCLWveqDxDwvS12MX2dmA==" spinCount="100000" sheet="1" selectLockedCells="1"/>
  <mergeCells count="50">
    <mergeCell ref="C4:D4"/>
    <mergeCell ref="B1:J1"/>
    <mergeCell ref="C2:F2"/>
    <mergeCell ref="L2:M2"/>
    <mergeCell ref="D3:F3"/>
    <mergeCell ref="L3:M3"/>
    <mergeCell ref="B7:B8"/>
    <mergeCell ref="C7:D8"/>
    <mergeCell ref="F7:G8"/>
    <mergeCell ref="B9:B10"/>
    <mergeCell ref="C9:D10"/>
    <mergeCell ref="F9:G10"/>
    <mergeCell ref="AC9:AD9"/>
    <mergeCell ref="AH9:AI9"/>
    <mergeCell ref="AC10:AD10"/>
    <mergeCell ref="AH10:AI10"/>
    <mergeCell ref="B11:B12"/>
    <mergeCell ref="C11:D12"/>
    <mergeCell ref="F11:G12"/>
    <mergeCell ref="AE11:AE13"/>
    <mergeCell ref="B23:B24"/>
    <mergeCell ref="C23:G24"/>
    <mergeCell ref="AJ11:AJ13"/>
    <mergeCell ref="B13:B14"/>
    <mergeCell ref="C13:D14"/>
    <mergeCell ref="F13:G14"/>
    <mergeCell ref="C15:G15"/>
    <mergeCell ref="AH15:AI15"/>
    <mergeCell ref="D31:F31"/>
    <mergeCell ref="C16:G16"/>
    <mergeCell ref="D18:E18"/>
    <mergeCell ref="D19:E19"/>
    <mergeCell ref="D20:E20"/>
    <mergeCell ref="D21:E21"/>
    <mergeCell ref="C25:G25"/>
    <mergeCell ref="C26:G26"/>
    <mergeCell ref="C27:G27"/>
    <mergeCell ref="D30:F30"/>
    <mergeCell ref="G30:J30"/>
    <mergeCell ref="D32:F32"/>
    <mergeCell ref="G32:J32"/>
    <mergeCell ref="AC33:AD33"/>
    <mergeCell ref="AH33:AI33"/>
    <mergeCell ref="AC34:AD34"/>
    <mergeCell ref="AH34:AI34"/>
    <mergeCell ref="K52:K54"/>
    <mergeCell ref="L52:O54"/>
    <mergeCell ref="AE35:AE37"/>
    <mergeCell ref="AJ35:AJ37"/>
    <mergeCell ref="AH39:AI39"/>
  </mergeCells>
  <conditionalFormatting sqref="K27 K33:K34 K29 K31">
    <cfRule type="expression" dxfId="163" priority="44" stopIfTrue="1">
      <formula>C9=""</formula>
    </cfRule>
  </conditionalFormatting>
  <conditionalFormatting sqref="K26 K28 K30 K32">
    <cfRule type="expression" dxfId="162" priority="45" stopIfTrue="1">
      <formula>F7=""</formula>
    </cfRule>
  </conditionalFormatting>
  <conditionalFormatting sqref="B32">
    <cfRule type="expression" dxfId="161" priority="46" stopIfTrue="1">
      <formula>D31&gt;D30</formula>
    </cfRule>
  </conditionalFormatting>
  <conditionalFormatting sqref="D32:F32">
    <cfRule type="expression" dxfId="160" priority="47" stopIfTrue="1">
      <formula>D31&gt;D30</formula>
    </cfRule>
  </conditionalFormatting>
  <conditionalFormatting sqref="K3">
    <cfRule type="expression" dxfId="159" priority="48" stopIfTrue="1">
      <formula>D3=""</formula>
    </cfRule>
  </conditionalFormatting>
  <conditionalFormatting sqref="L2">
    <cfRule type="expression" dxfId="158" priority="49" stopIfTrue="1">
      <formula>D3=""</formula>
    </cfRule>
  </conditionalFormatting>
  <conditionalFormatting sqref="N2">
    <cfRule type="expression" dxfId="157" priority="50" stopIfTrue="1">
      <formula>D3=""</formula>
    </cfRule>
  </conditionalFormatting>
  <conditionalFormatting sqref="N3">
    <cfRule type="expression" dxfId="156" priority="51" stopIfTrue="1">
      <formula>D3=""</formula>
    </cfRule>
  </conditionalFormatting>
  <conditionalFormatting sqref="K2">
    <cfRule type="expression" dxfId="155" priority="52" stopIfTrue="1">
      <formula>AND(D3="",C2="")</formula>
    </cfRule>
  </conditionalFormatting>
  <conditionalFormatting sqref="C25:H25">
    <cfRule type="cellIs" dxfId="154" priority="53" stopIfTrue="1" operator="notEqual">
      <formula>""</formula>
    </cfRule>
  </conditionalFormatting>
  <conditionalFormatting sqref="C26:H26">
    <cfRule type="cellIs" dxfId="153" priority="54" stopIfTrue="1" operator="notEqual">
      <formula>""</formula>
    </cfRule>
  </conditionalFormatting>
  <conditionalFormatting sqref="T8:T10 T18 T36:T37 T51:T57">
    <cfRule type="cellIs" dxfId="152" priority="55" stopIfTrue="1" operator="notEqual">
      <formula>""</formula>
    </cfRule>
  </conditionalFormatting>
  <conditionalFormatting sqref="L5">
    <cfRule type="expression" dxfId="151" priority="56" stopIfTrue="1">
      <formula>expired=TRUE</formula>
    </cfRule>
  </conditionalFormatting>
  <conditionalFormatting sqref="B1:J1 G2:H2 J2">
    <cfRule type="expression" dxfId="150" priority="57" stopIfTrue="1">
      <formula>expired=TRUE</formula>
    </cfRule>
    <cfRule type="expression" dxfId="149" priority="58" stopIfTrue="1">
      <formula>old_ver=TRUE</formula>
    </cfRule>
  </conditionalFormatting>
  <conditionalFormatting sqref="V42:V43">
    <cfRule type="expression" dxfId="148" priority="43" stopIfTrue="1">
      <formula>U42=""</formula>
    </cfRule>
  </conditionalFormatting>
  <conditionalFormatting sqref="U12:U15">
    <cfRule type="expression" dxfId="147" priority="42" stopIfTrue="1">
      <formula>U12=""</formula>
    </cfRule>
  </conditionalFormatting>
  <conditionalFormatting sqref="U42:U44">
    <cfRule type="expression" dxfId="146" priority="41" stopIfTrue="1">
      <formula>U42=""</formula>
    </cfRule>
  </conditionalFormatting>
  <conditionalFormatting sqref="B23">
    <cfRule type="expression" dxfId="145" priority="60" stopIfTrue="1">
      <formula>T9&lt;&gt;"OK"</formula>
    </cfRule>
    <cfRule type="expression" dxfId="144" priority="61" stopIfTrue="1">
      <formula>T10&lt;&gt;"OK"</formula>
    </cfRule>
  </conditionalFormatting>
  <conditionalFormatting sqref="D18">
    <cfRule type="expression" dxfId="143" priority="62" stopIfTrue="1">
      <formula>T18&lt;&gt;"OK"</formula>
    </cfRule>
  </conditionalFormatting>
  <conditionalFormatting sqref="X21">
    <cfRule type="expression" dxfId="142" priority="40" stopIfTrue="1">
      <formula>V21=""</formula>
    </cfRule>
  </conditionalFormatting>
  <conditionalFormatting sqref="X18:X19">
    <cfRule type="expression" dxfId="141" priority="39" stopIfTrue="1">
      <formula>V18=""</formula>
    </cfRule>
  </conditionalFormatting>
  <conditionalFormatting sqref="T38">
    <cfRule type="cellIs" dxfId="140" priority="38" stopIfTrue="1" operator="notEqual">
      <formula>""</formula>
    </cfRule>
  </conditionalFormatting>
  <conditionalFormatting sqref="F15:G15">
    <cfRule type="expression" dxfId="139" priority="63" stopIfTrue="1">
      <formula>F15&gt;Z54</formula>
    </cfRule>
  </conditionalFormatting>
  <conditionalFormatting sqref="F16">
    <cfRule type="expression" dxfId="138" priority="64" stopIfTrue="1">
      <formula>F16&gt;Z42</formula>
    </cfRule>
  </conditionalFormatting>
  <conditionalFormatting sqref="D15:E16">
    <cfRule type="expression" dxfId="137" priority="65" stopIfTrue="1">
      <formula>D15&gt;#REF!</formula>
    </cfRule>
  </conditionalFormatting>
  <conditionalFormatting sqref="L17">
    <cfRule type="expression" dxfId="136" priority="66" stopIfTrue="1">
      <formula>AC17="out"</formula>
    </cfRule>
  </conditionalFormatting>
  <conditionalFormatting sqref="M18">
    <cfRule type="expression" dxfId="135" priority="67" stopIfTrue="1">
      <formula>AG17="out"</formula>
    </cfRule>
  </conditionalFormatting>
  <conditionalFormatting sqref="O18">
    <cfRule type="expression" dxfId="134" priority="68" stopIfTrue="1">
      <formula>AG17="out"</formula>
    </cfRule>
  </conditionalFormatting>
  <conditionalFormatting sqref="D23:E24">
    <cfRule type="expression" dxfId="133" priority="69" stopIfTrue="1">
      <formula>OR(AD17="out",#REF!="out")</formula>
    </cfRule>
  </conditionalFormatting>
  <conditionalFormatting sqref="F23:H24">
    <cfRule type="expression" dxfId="132" priority="70" stopIfTrue="1">
      <formula>OR(AF17="out",AH17="out")</formula>
    </cfRule>
  </conditionalFormatting>
  <conditionalFormatting sqref="C23:C24">
    <cfRule type="expression" dxfId="131" priority="71" stopIfTrue="1">
      <formula>OR(AC17="out",AG17="out")</formula>
    </cfRule>
  </conditionalFormatting>
  <conditionalFormatting sqref="G16">
    <cfRule type="expression" dxfId="130" priority="72" stopIfTrue="1">
      <formula>G16&gt;AA41</formula>
    </cfRule>
  </conditionalFormatting>
  <conditionalFormatting sqref="L20">
    <cfRule type="expression" dxfId="129" priority="73" stopIfTrue="1">
      <formula>AC41="out"</formula>
    </cfRule>
  </conditionalFormatting>
  <conditionalFormatting sqref="M21">
    <cfRule type="expression" dxfId="128" priority="74" stopIfTrue="1">
      <formula>AG41="OUT"</formula>
    </cfRule>
  </conditionalFormatting>
  <conditionalFormatting sqref="U21">
    <cfRule type="expression" dxfId="127" priority="37" stopIfTrue="1">
      <formula>V21=""</formula>
    </cfRule>
  </conditionalFormatting>
  <conditionalFormatting sqref="U22:U23">
    <cfRule type="expression" dxfId="126" priority="36" stopIfTrue="1">
      <formula>U22=""</formula>
    </cfRule>
  </conditionalFormatting>
  <conditionalFormatting sqref="U20">
    <cfRule type="expression" dxfId="125" priority="34">
      <formula>AND(OR(V20="",LEFT(V20,1)="F"),V18&lt;&gt;V19)</formula>
    </cfRule>
    <cfRule type="expression" dxfId="124" priority="35">
      <formula>AND(LEFT(V20,1)&lt;&gt;"F",V18=V19)</formula>
    </cfRule>
  </conditionalFormatting>
  <conditionalFormatting sqref="T20">
    <cfRule type="cellIs" dxfId="123" priority="33" stopIfTrue="1" operator="notEqual">
      <formula>""</formula>
    </cfRule>
  </conditionalFormatting>
  <conditionalFormatting sqref="X20">
    <cfRule type="expression" dxfId="122" priority="32" stopIfTrue="1">
      <formula>V20=""</formula>
    </cfRule>
  </conditionalFormatting>
  <conditionalFormatting sqref="W42:W44">
    <cfRule type="expression" dxfId="121" priority="75" stopIfTrue="1">
      <formula>#REF!=""</formula>
    </cfRule>
  </conditionalFormatting>
  <conditionalFormatting sqref="D27:E27">
    <cfRule type="expression" dxfId="120" priority="76" stopIfTrue="1">
      <formula>#REF!&lt;&gt;"OK"</formula>
    </cfRule>
  </conditionalFormatting>
  <conditionalFormatting sqref="F27">
    <cfRule type="expression" dxfId="119" priority="77" stopIfTrue="1">
      <formula>#REF!&lt;&gt;"OK"</formula>
    </cfRule>
  </conditionalFormatting>
  <conditionalFormatting sqref="G27:H27">
    <cfRule type="expression" dxfId="118" priority="78" stopIfTrue="1">
      <formula>#REF!&lt;&gt;"OK"</formula>
    </cfRule>
  </conditionalFormatting>
  <conditionalFormatting sqref="T58">
    <cfRule type="cellIs" dxfId="117" priority="31" stopIfTrue="1" operator="notEqual">
      <formula>""</formula>
    </cfRule>
  </conditionalFormatting>
  <conditionalFormatting sqref="B25 B27">
    <cfRule type="cellIs" dxfId="116" priority="29" stopIfTrue="1" operator="notEqual">
      <formula>""</formula>
    </cfRule>
  </conditionalFormatting>
  <conditionalFormatting sqref="B26">
    <cfRule type="cellIs" dxfId="115" priority="30" stopIfTrue="1" operator="notEqual">
      <formula>""</formula>
    </cfRule>
  </conditionalFormatting>
  <conditionalFormatting sqref="O17">
    <cfRule type="expression" dxfId="114" priority="28" stopIfTrue="1">
      <formula>L17&gt;W9</formula>
    </cfRule>
  </conditionalFormatting>
  <conditionalFormatting sqref="T11">
    <cfRule type="cellIs" dxfId="113" priority="27" stopIfTrue="1" operator="notEqual">
      <formula>""</formula>
    </cfRule>
  </conditionalFormatting>
  <conditionalFormatting sqref="C27">
    <cfRule type="expression" dxfId="112" priority="79" stopIfTrue="1">
      <formula>T51&lt;&gt;"OK"</formula>
    </cfRule>
  </conditionalFormatting>
  <conditionalFormatting sqref="D21">
    <cfRule type="expression" dxfId="111" priority="80" stopIfTrue="1">
      <formula>T56&lt;&gt;"OK"</formula>
    </cfRule>
  </conditionalFormatting>
  <conditionalFormatting sqref="B21">
    <cfRule type="expression" dxfId="110" priority="81" stopIfTrue="1">
      <formula>T56&lt;&gt;"OK"</formula>
    </cfRule>
  </conditionalFormatting>
  <conditionalFormatting sqref="D22:E22">
    <cfRule type="expression" dxfId="109" priority="82" stopIfTrue="1">
      <formula>T58&lt;&gt;"ok"</formula>
    </cfRule>
  </conditionalFormatting>
  <conditionalFormatting sqref="C15:C16">
    <cfRule type="expression" dxfId="108" priority="83" stopIfTrue="1">
      <formula>C15&gt;X36</formula>
    </cfRule>
  </conditionalFormatting>
  <conditionalFormatting sqref="B24">
    <cfRule type="expression" dxfId="107" priority="84" stopIfTrue="1">
      <formula>T10&lt;&gt;"OK"</formula>
    </cfRule>
    <cfRule type="expression" dxfId="106" priority="85" stopIfTrue="1">
      <formula>T36&lt;&gt;"OK"</formula>
    </cfRule>
  </conditionalFormatting>
  <conditionalFormatting sqref="G32:H32">
    <cfRule type="expression" dxfId="105" priority="86" stopIfTrue="1">
      <formula>D31&gt;D30</formula>
    </cfRule>
  </conditionalFormatting>
  <conditionalFormatting sqref="L3:M3">
    <cfRule type="expression" dxfId="104" priority="87" stopIfTrue="1">
      <formula>D3=""</formula>
    </cfRule>
  </conditionalFormatting>
  <conditionalFormatting sqref="I32:J32">
    <cfRule type="expression" dxfId="103" priority="88" stopIfTrue="1">
      <formula>E31&gt;E30</formula>
    </cfRule>
  </conditionalFormatting>
  <conditionalFormatting sqref="E7">
    <cfRule type="expression" dxfId="102" priority="26">
      <formula>E7=0</formula>
    </cfRule>
  </conditionalFormatting>
  <conditionalFormatting sqref="E9">
    <cfRule type="expression" dxfId="101" priority="25">
      <formula>E9=0</formula>
    </cfRule>
  </conditionalFormatting>
  <conditionalFormatting sqref="E11">
    <cfRule type="expression" dxfId="100" priority="24">
      <formula>E11=0</formula>
    </cfRule>
  </conditionalFormatting>
  <conditionalFormatting sqref="E13">
    <cfRule type="expression" dxfId="99" priority="23">
      <formula>E13=0</formula>
    </cfRule>
  </conditionalFormatting>
  <conditionalFormatting sqref="D5">
    <cfRule type="expression" dxfId="98" priority="22">
      <formula>SUM(W31:W34)&gt;0</formula>
    </cfRule>
  </conditionalFormatting>
  <conditionalFormatting sqref="W31:W32">
    <cfRule type="expression" dxfId="97" priority="21" stopIfTrue="1">
      <formula>U31=""</formula>
    </cfRule>
  </conditionalFormatting>
  <conditionalFormatting sqref="W33">
    <cfRule type="expression" dxfId="96" priority="89" stopIfTrue="1">
      <formula>U34=""</formula>
    </cfRule>
  </conditionalFormatting>
  <conditionalFormatting sqref="W34">
    <cfRule type="expression" dxfId="95" priority="20" stopIfTrue="1">
      <formula>U34=""</formula>
    </cfRule>
  </conditionalFormatting>
  <conditionalFormatting sqref="U19">
    <cfRule type="expression" dxfId="94" priority="19" stopIfTrue="1">
      <formula>#REF!=""</formula>
    </cfRule>
  </conditionalFormatting>
  <conditionalFormatting sqref="C9:D10">
    <cfRule type="expression" dxfId="93" priority="16">
      <formula>E10=TRUE</formula>
    </cfRule>
  </conditionalFormatting>
  <conditionalFormatting sqref="H7">
    <cfRule type="expression" dxfId="92" priority="11">
      <formula>H7=0</formula>
    </cfRule>
  </conditionalFormatting>
  <conditionalFormatting sqref="H9">
    <cfRule type="expression" dxfId="91" priority="10">
      <formula>H9=0</formula>
    </cfRule>
  </conditionalFormatting>
  <conditionalFormatting sqref="H11">
    <cfRule type="expression" dxfId="90" priority="9">
      <formula>H11=0</formula>
    </cfRule>
  </conditionalFormatting>
  <conditionalFormatting sqref="H13">
    <cfRule type="expression" dxfId="89" priority="8">
      <formula>H13=0</formula>
    </cfRule>
  </conditionalFormatting>
  <conditionalFormatting sqref="F7:G8">
    <cfRule type="expression" dxfId="88" priority="7">
      <formula>H8=TRUE</formula>
    </cfRule>
  </conditionalFormatting>
  <conditionalFormatting sqref="F9:G10">
    <cfRule type="expression" dxfId="87" priority="6">
      <formula>H10=TRUE</formula>
    </cfRule>
  </conditionalFormatting>
  <conditionalFormatting sqref="F11:G12">
    <cfRule type="expression" dxfId="86" priority="5">
      <formula>H12=TRUE</formula>
    </cfRule>
  </conditionalFormatting>
  <conditionalFormatting sqref="F13:G14">
    <cfRule type="expression" dxfId="85" priority="4">
      <formula>H14=TRUE</formula>
    </cfRule>
  </conditionalFormatting>
  <conditionalFormatting sqref="C13:D14">
    <cfRule type="expression" dxfId="84" priority="3">
      <formula>E14=TRUE</formula>
    </cfRule>
  </conditionalFormatting>
  <conditionalFormatting sqref="C11:D12">
    <cfRule type="expression" dxfId="83" priority="2">
      <formula>E12=TRUE</formula>
    </cfRule>
  </conditionalFormatting>
  <conditionalFormatting sqref="C7:D8">
    <cfRule type="expression" dxfId="82" priority="1">
      <formula>T51&lt;&gt;"OK"</formula>
    </cfRule>
  </conditionalFormatting>
  <dataValidations count="3">
    <dataValidation type="list" showInputMessage="1" showErrorMessage="1" errorTitle="STANDARD FUELING LEVEL" error="STANDARD FUELING LEVEL MUST BE ENTERED:_x000a_TABS,_x000a_Measured,_x000a_FULL" sqref="V20" xr:uid="{00000000-0002-0000-0E00-000000000000}">
      <formula1>"TABS,Measured,FULL"</formula1>
    </dataValidation>
    <dataValidation type="date" allowBlank="1" showInputMessage="1" showErrorMessage="1" errorTitle="Input Error" error="A valid date must be entered into this cell._x000a_" sqref="C2:F2" xr:uid="{00000000-0002-0000-0E00-000001000000}">
      <formula1>36526</formula1>
      <formula2>44196</formula2>
    </dataValidation>
    <dataValidation type="custom" allowBlank="1" showInputMessage="1" showErrorMessage="1" errorTitle="Input Error" error="Entry must be a NUMERIC VALUE!" sqref="F7:G16 C7:D16 E15:E16 D18:D20" xr:uid="{00000000-0002-0000-0E00-000002000000}">
      <formula1>ISNUMBER(C7)</formula1>
    </dataValidation>
  </dataValidations>
  <printOptions horizontalCentered="1"/>
  <pageMargins left="0.75" right="0.5" top="0.5" bottom="0.5" header="0.5" footer="0.5"/>
  <pageSetup scale="95" orientation="portrait" r:id="rId1"/>
  <headerFooter alignWithMargins="0">
    <oddFooter>&amp;L&amp;F &amp;A&amp;RPrinted: &amp;D      Page &amp;P of &amp;N</oddFooter>
  </headerFooter>
  <drawing r:id="rId2"/>
  <legacyDrawing r:id="rId3"/>
  <controls>
    <mc:AlternateContent xmlns:mc="http://schemas.openxmlformats.org/markup-compatibility/2006">
      <mc:Choice Requires="x14">
        <control shapeId="1206273" r:id="rId4" name="CheckBox2">
          <controlPr defaultSize="0" autoLine="0" linkedCell="H8" r:id="rId5">
            <anchor moveWithCells="1">
              <from>
                <xdr:col>7</xdr:col>
                <xdr:colOff>28575</xdr:colOff>
                <xdr:row>7</xdr:row>
                <xdr:rowOff>19050</xdr:rowOff>
              </from>
              <to>
                <xdr:col>7</xdr:col>
                <xdr:colOff>190500</xdr:colOff>
                <xdr:row>7</xdr:row>
                <xdr:rowOff>180975</xdr:rowOff>
              </to>
            </anchor>
          </controlPr>
        </control>
      </mc:Choice>
      <mc:Fallback>
        <control shapeId="1206273" r:id="rId4" name="CheckBox2"/>
      </mc:Fallback>
    </mc:AlternateContent>
    <mc:AlternateContent xmlns:mc="http://schemas.openxmlformats.org/markup-compatibility/2006">
      <mc:Choice Requires="x14">
        <control shapeId="1206274" r:id="rId6" name="CheckBox3">
          <controlPr defaultSize="0" autoLine="0" linkedCell="H10" r:id="rId7">
            <anchor moveWithCells="1">
              <from>
                <xdr:col>7</xdr:col>
                <xdr:colOff>19050</xdr:colOff>
                <xdr:row>9</xdr:row>
                <xdr:rowOff>19050</xdr:rowOff>
              </from>
              <to>
                <xdr:col>7</xdr:col>
                <xdr:colOff>180975</xdr:colOff>
                <xdr:row>9</xdr:row>
                <xdr:rowOff>180975</xdr:rowOff>
              </to>
            </anchor>
          </controlPr>
        </control>
      </mc:Choice>
      <mc:Fallback>
        <control shapeId="1206274" r:id="rId6" name="CheckBox3"/>
      </mc:Fallback>
    </mc:AlternateContent>
    <mc:AlternateContent xmlns:mc="http://schemas.openxmlformats.org/markup-compatibility/2006">
      <mc:Choice Requires="x14">
        <control shapeId="1206275" r:id="rId8" name="CheckBox4">
          <controlPr defaultSize="0" autoLine="0" linkedCell="H12" r:id="rId9">
            <anchor moveWithCells="1">
              <from>
                <xdr:col>7</xdr:col>
                <xdr:colOff>19050</xdr:colOff>
                <xdr:row>10</xdr:row>
                <xdr:rowOff>180975</xdr:rowOff>
              </from>
              <to>
                <xdr:col>7</xdr:col>
                <xdr:colOff>180975</xdr:colOff>
                <xdr:row>11</xdr:row>
                <xdr:rowOff>152400</xdr:rowOff>
              </to>
            </anchor>
          </controlPr>
        </control>
      </mc:Choice>
      <mc:Fallback>
        <control shapeId="1206275" r:id="rId8" name="CheckBox4"/>
      </mc:Fallback>
    </mc:AlternateContent>
    <mc:AlternateContent xmlns:mc="http://schemas.openxmlformats.org/markup-compatibility/2006">
      <mc:Choice Requires="x14">
        <control shapeId="1206276" r:id="rId10" name="CheckBox5">
          <controlPr defaultSize="0" autoLine="0" linkedCell="H14" r:id="rId11">
            <anchor moveWithCells="1">
              <from>
                <xdr:col>7</xdr:col>
                <xdr:colOff>19050</xdr:colOff>
                <xdr:row>13</xdr:row>
                <xdr:rowOff>0</xdr:rowOff>
              </from>
              <to>
                <xdr:col>7</xdr:col>
                <xdr:colOff>180975</xdr:colOff>
                <xdr:row>13</xdr:row>
                <xdr:rowOff>161925</xdr:rowOff>
              </to>
            </anchor>
          </controlPr>
        </control>
      </mc:Choice>
      <mc:Fallback>
        <control shapeId="1206276" r:id="rId10" name="CheckBox5"/>
      </mc:Fallback>
    </mc:AlternateContent>
    <mc:AlternateContent xmlns:mc="http://schemas.openxmlformats.org/markup-compatibility/2006">
      <mc:Choice Requires="x14">
        <control shapeId="1206277" r:id="rId12" name="CheckBox6">
          <controlPr defaultSize="0" autoLine="0" linkedCell="E10" r:id="rId13">
            <anchor moveWithCells="1">
              <from>
                <xdr:col>4</xdr:col>
                <xdr:colOff>19050</xdr:colOff>
                <xdr:row>9</xdr:row>
                <xdr:rowOff>19050</xdr:rowOff>
              </from>
              <to>
                <xdr:col>4</xdr:col>
                <xdr:colOff>180975</xdr:colOff>
                <xdr:row>9</xdr:row>
                <xdr:rowOff>180975</xdr:rowOff>
              </to>
            </anchor>
          </controlPr>
        </control>
      </mc:Choice>
      <mc:Fallback>
        <control shapeId="1206277" r:id="rId12" name="CheckBox6"/>
      </mc:Fallback>
    </mc:AlternateContent>
    <mc:AlternateContent xmlns:mc="http://schemas.openxmlformats.org/markup-compatibility/2006">
      <mc:Choice Requires="x14">
        <control shapeId="1206278" r:id="rId14" name="CheckBox7">
          <controlPr defaultSize="0" autoLine="0" linkedCell="E12" r:id="rId15">
            <anchor moveWithCells="1">
              <from>
                <xdr:col>4</xdr:col>
                <xdr:colOff>9525</xdr:colOff>
                <xdr:row>11</xdr:row>
                <xdr:rowOff>9525</xdr:rowOff>
              </from>
              <to>
                <xdr:col>4</xdr:col>
                <xdr:colOff>171450</xdr:colOff>
                <xdr:row>11</xdr:row>
                <xdr:rowOff>171450</xdr:rowOff>
              </to>
            </anchor>
          </controlPr>
        </control>
      </mc:Choice>
      <mc:Fallback>
        <control shapeId="1206278" r:id="rId14" name="CheckBox7"/>
      </mc:Fallback>
    </mc:AlternateContent>
    <mc:AlternateContent xmlns:mc="http://schemas.openxmlformats.org/markup-compatibility/2006">
      <mc:Choice Requires="x14">
        <control shapeId="1206279" r:id="rId16" name="CheckBox8">
          <controlPr defaultSize="0" autoLine="0" linkedCell="E14" r:id="rId17">
            <anchor moveWithCells="1">
              <from>
                <xdr:col>4</xdr:col>
                <xdr:colOff>9525</xdr:colOff>
                <xdr:row>12</xdr:row>
                <xdr:rowOff>180975</xdr:rowOff>
              </from>
              <to>
                <xdr:col>4</xdr:col>
                <xdr:colOff>171450</xdr:colOff>
                <xdr:row>13</xdr:row>
                <xdr:rowOff>152400</xdr:rowOff>
              </to>
            </anchor>
          </controlPr>
        </control>
      </mc:Choice>
      <mc:Fallback>
        <control shapeId="1206279" r:id="rId16" name="CheckBox8"/>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B1:P28"/>
  <sheetViews>
    <sheetView showGridLines="0" showRowColHeaders="0" zoomScaleNormal="100" workbookViewId="0">
      <selection activeCell="F5" sqref="F5"/>
    </sheetView>
  </sheetViews>
  <sheetFormatPr defaultRowHeight="12.75" x14ac:dyDescent="0.2"/>
  <cols>
    <col min="1" max="1" width="1.140625" customWidth="1"/>
    <col min="2" max="2" width="1.85546875" customWidth="1"/>
    <col min="3" max="3" width="9.7109375" customWidth="1"/>
    <col min="4" max="4" width="9.5703125" customWidth="1"/>
    <col min="5" max="5" width="29.42578125" customWidth="1"/>
    <col min="6" max="6" width="7.42578125" customWidth="1"/>
    <col min="7" max="7" width="7.85546875" customWidth="1"/>
    <col min="8" max="11" width="7.42578125" customWidth="1"/>
    <col min="12" max="14" width="8.5703125" customWidth="1"/>
    <col min="15" max="15" width="1.7109375" customWidth="1"/>
    <col min="16" max="16" width="10.85546875" customWidth="1"/>
    <col min="17" max="17" width="9.28515625" customWidth="1"/>
    <col min="18" max="18" width="13.7109375" customWidth="1"/>
  </cols>
  <sheetData>
    <row r="1" spans="2:16" ht="24" customHeight="1" x14ac:dyDescent="0.2">
      <c r="C1" s="728" t="str">
        <f ca="1">status_msg</f>
        <v/>
      </c>
      <c r="D1" s="729"/>
      <c r="E1" s="729"/>
      <c r="F1" s="729"/>
      <c r="G1" s="729"/>
      <c r="H1" s="729"/>
      <c r="I1" s="729"/>
      <c r="J1" s="729"/>
      <c r="K1" s="753" t="str">
        <f>IF(F5&gt;=1,"This can be used to search for an airplane that might fit the mission.  
-- CALCULATE THE PAYLOAD
--THEN LOOK FOR A PLANE THAT WILL FIT THOSE WEIGHT REQUIREMENTS","")</f>
        <v>This can be used to search for an airplane that might fit the mission.  
-- CALCULATE THE PAYLOAD
--THEN LOOK FOR A PLANE THAT WILL FIT THOSE WEIGHT REQUIREMENTS</v>
      </c>
      <c r="L1" s="753"/>
      <c r="M1" s="753"/>
      <c r="N1" s="753"/>
    </row>
    <row r="2" spans="2:16" ht="12" customHeight="1" x14ac:dyDescent="0.2">
      <c r="F2" s="755"/>
      <c r="G2" s="179"/>
      <c r="H2" s="178"/>
      <c r="K2" s="753"/>
      <c r="L2" s="753"/>
      <c r="M2" s="753"/>
      <c r="N2" s="753"/>
      <c r="O2" s="180"/>
    </row>
    <row r="3" spans="2:16" ht="15" customHeight="1" x14ac:dyDescent="0.25">
      <c r="C3" s="181" t="s">
        <v>267</v>
      </c>
      <c r="E3" s="154"/>
      <c r="F3" s="755"/>
      <c r="G3" s="179"/>
      <c r="J3" s="182"/>
      <c r="K3" s="753"/>
      <c r="L3" s="753"/>
      <c r="M3" s="753"/>
      <c r="N3" s="753"/>
      <c r="O3" s="180"/>
    </row>
    <row r="4" spans="2:16" ht="15" customHeight="1" thickBot="1" x14ac:dyDescent="0.3">
      <c r="C4" s="181" t="s">
        <v>148</v>
      </c>
      <c r="F4" s="755"/>
      <c r="G4" s="594">
        <f>MIN(M9:N25)</f>
        <v>270</v>
      </c>
      <c r="H4" s="595"/>
      <c r="I4" s="596">
        <f>MAX(M9:N25)</f>
        <v>1588</v>
      </c>
      <c r="K4" s="753"/>
      <c r="L4" s="753"/>
      <c r="M4" s="753"/>
      <c r="N4" s="753"/>
      <c r="O4" s="180"/>
    </row>
    <row r="5" spans="2:16" ht="15" customHeight="1" thickTop="1" thickBot="1" x14ac:dyDescent="0.25">
      <c r="F5" s="600">
        <v>409</v>
      </c>
      <c r="G5" s="597"/>
      <c r="H5" s="598"/>
      <c r="I5" s="598"/>
      <c r="K5" s="150"/>
      <c r="L5" s="756" t="str">
        <f>IF(F5&gt;=1,"= gray shading will cover the aircraft when useful load is out of range","")</f>
        <v>= gray shading will cover the aircraft when useful load is out of range</v>
      </c>
      <c r="M5" s="756"/>
      <c r="N5" s="756"/>
      <c r="O5" s="155"/>
      <c r="P5" s="155"/>
    </row>
    <row r="6" spans="2:16" ht="12" customHeight="1" thickTop="1" x14ac:dyDescent="0.2">
      <c r="E6" s="754" t="s">
        <v>255</v>
      </c>
      <c r="F6" s="183" t="s">
        <v>118</v>
      </c>
      <c r="G6" s="594"/>
      <c r="H6" s="599" t="s">
        <v>118</v>
      </c>
      <c r="I6" s="595"/>
      <c r="L6" s="756"/>
      <c r="M6" s="756"/>
      <c r="N6" s="756"/>
      <c r="O6" s="155"/>
      <c r="P6" s="155"/>
    </row>
    <row r="7" spans="2:16" ht="12" customHeight="1" thickBot="1" x14ac:dyDescent="0.25">
      <c r="E7" s="754"/>
      <c r="L7" s="756"/>
      <c r="M7" s="756"/>
      <c r="N7" s="756"/>
    </row>
    <row r="8" spans="2:16" ht="56.25" x14ac:dyDescent="0.2">
      <c r="C8" s="146" t="s">
        <v>144</v>
      </c>
      <c r="D8" s="147" t="s">
        <v>145</v>
      </c>
      <c r="E8" s="149" t="s">
        <v>146</v>
      </c>
      <c r="F8" s="146" t="s">
        <v>147</v>
      </c>
      <c r="G8" s="146" t="s">
        <v>74</v>
      </c>
      <c r="H8" s="146" t="s">
        <v>27</v>
      </c>
      <c r="I8" s="146" t="s">
        <v>37</v>
      </c>
      <c r="J8" s="146" t="s">
        <v>140</v>
      </c>
      <c r="K8" s="146" t="s">
        <v>75</v>
      </c>
      <c r="L8" s="152" t="s">
        <v>219</v>
      </c>
      <c r="M8" s="153" t="s">
        <v>220</v>
      </c>
      <c r="N8" s="717" t="s">
        <v>77</v>
      </c>
    </row>
    <row r="9" spans="2:16" s="148" customFormat="1" ht="22.5" customHeight="1" x14ac:dyDescent="0.2">
      <c r="B9" s="676"/>
      <c r="C9" s="156" t="str">
        <f>N426CP!Q1</f>
        <v>CAP 920</v>
      </c>
      <c r="D9" s="158" t="str">
        <f>N426CP!R1</f>
        <v>N426CP</v>
      </c>
      <c r="E9" s="160" t="str">
        <f>N426CP!S1</f>
        <v xml:space="preserve">(180hp C 172S) </v>
      </c>
      <c r="F9" s="162">
        <f>N426CP!U7</f>
        <v>1661</v>
      </c>
      <c r="G9" s="163">
        <f>N426CP!U8</f>
        <v>2550</v>
      </c>
      <c r="H9" s="164">
        <f>N426CP!U9</f>
        <v>2557</v>
      </c>
      <c r="I9" s="164">
        <f>N426CP!U10</f>
        <v>2550</v>
      </c>
      <c r="J9" s="165">
        <f>N426CP!T18</f>
        <v>53</v>
      </c>
      <c r="K9" s="166">
        <f>N426CP!T19</f>
        <v>35</v>
      </c>
      <c r="L9" s="167">
        <f>N426CP!U39</f>
        <v>571</v>
      </c>
      <c r="M9" s="168">
        <f>N426CP!U38</f>
        <v>679</v>
      </c>
      <c r="N9" s="716">
        <f>N426CP!U37</f>
        <v>889</v>
      </c>
      <c r="O9"/>
    </row>
    <row r="10" spans="2:16" s="148" customFormat="1" ht="22.5" hidden="1" customHeight="1" x14ac:dyDescent="0.2">
      <c r="B10" s="676"/>
      <c r="C10" s="156" t="str">
        <f>Empty172!Q1</f>
        <v xml:space="preserve">CAP </v>
      </c>
      <c r="D10" s="158" t="str">
        <f>Empty172!R1</f>
        <v>N</v>
      </c>
      <c r="E10" s="160" t="str">
        <f>Empty172!S1</f>
        <v>(230hp C182T) Long Range Tanks</v>
      </c>
      <c r="F10" s="162">
        <f>Empty172!U7</f>
        <v>2039.6</v>
      </c>
      <c r="G10" s="163">
        <f>Empty172!U8</f>
        <v>2550</v>
      </c>
      <c r="H10" s="164">
        <f>Empty172!U9</f>
        <v>2557</v>
      </c>
      <c r="I10" s="164">
        <f>Empty172!U10</f>
        <v>2550</v>
      </c>
      <c r="J10" s="165">
        <f>Empty172!T18</f>
        <v>40</v>
      </c>
      <c r="K10" s="166">
        <f>Empty172!T19</f>
        <v>40</v>
      </c>
      <c r="L10" s="167">
        <f>Empty172!U39</f>
        <v>270</v>
      </c>
      <c r="M10" s="168">
        <f>Empty172!U38</f>
        <v>270</v>
      </c>
      <c r="N10" s="635">
        <f>Empty172!U37</f>
        <v>510</v>
      </c>
      <c r="O10"/>
    </row>
    <row r="11" spans="2:16" s="148" customFormat="1" ht="22.5" hidden="1" customHeight="1" x14ac:dyDescent="0.2">
      <c r="B11" s="676"/>
      <c r="C11" s="156" t="str">
        <f>N9433L!Q1</f>
        <v>CAP 941</v>
      </c>
      <c r="D11" s="158" t="str">
        <f>N9433L!R1</f>
        <v>N9433L</v>
      </c>
      <c r="E11" s="160" t="str">
        <f>N9433L!S1</f>
        <v xml:space="preserve">(180hp C 172P)  </v>
      </c>
      <c r="F11" s="162">
        <f>N9433L!U7</f>
        <v>1595</v>
      </c>
      <c r="G11" s="163">
        <f>N9433L!U8</f>
        <v>2550</v>
      </c>
      <c r="H11" s="164">
        <f>N9433L!U9</f>
        <v>2557</v>
      </c>
      <c r="I11" s="164">
        <f>N9433L!U10</f>
        <v>2550</v>
      </c>
      <c r="J11" s="165">
        <f>N9433L!T18</f>
        <v>40</v>
      </c>
      <c r="K11" s="166">
        <f>N9433L!T19</f>
        <v>40</v>
      </c>
      <c r="L11" s="167">
        <f>N9433L!U39</f>
        <v>715</v>
      </c>
      <c r="M11" s="168">
        <f>N9433L!U38</f>
        <v>715</v>
      </c>
      <c r="N11" s="668">
        <f>N9433L!U37</f>
        <v>955</v>
      </c>
      <c r="O11"/>
    </row>
    <row r="12" spans="2:16" s="148" customFormat="1" ht="22.5" hidden="1" customHeight="1" thickBot="1" x14ac:dyDescent="0.25">
      <c r="B12" s="676"/>
      <c r="C12" s="705" t="str">
        <f>N990CP!Q1</f>
        <v>CAP 923</v>
      </c>
      <c r="D12" s="661" t="str">
        <f>N990CP!R1</f>
        <v>N990CP</v>
      </c>
      <c r="E12" s="662" t="str">
        <f>N990CP!S1</f>
        <v xml:space="preserve">(180hp C 172P)  </v>
      </c>
      <c r="F12" s="663">
        <f>N990CP!U7</f>
        <v>1691.83</v>
      </c>
      <c r="G12" s="664">
        <f>N990CP!U8</f>
        <v>2550</v>
      </c>
      <c r="H12" s="665">
        <f>N990CP!U9</f>
        <v>2557</v>
      </c>
      <c r="I12" s="665">
        <f>N990CP!U10</f>
        <v>2550</v>
      </c>
      <c r="J12" s="666">
        <f>N990CP!T18</f>
        <v>40</v>
      </c>
      <c r="K12" s="667">
        <f>N990CP!T19</f>
        <v>40</v>
      </c>
      <c r="L12" s="707">
        <f>N990CP!U39</f>
        <v>618</v>
      </c>
      <c r="M12" s="708">
        <f>N990CP!U38</f>
        <v>618</v>
      </c>
      <c r="N12" s="711">
        <f>N990CP!U37</f>
        <v>858</v>
      </c>
      <c r="O12"/>
    </row>
    <row r="13" spans="2:16" s="148" customFormat="1" ht="22.5" customHeight="1" x14ac:dyDescent="0.2">
      <c r="B13" s="676"/>
      <c r="C13" s="706" t="str">
        <f>N697CP!Q1</f>
        <v>CAP 921</v>
      </c>
      <c r="D13" s="158" t="str">
        <f>N697CP!R1</f>
        <v>N697CP</v>
      </c>
      <c r="E13" s="160" t="str">
        <f>N697CP!S1</f>
        <v xml:space="preserve">(180hp C 172S) </v>
      </c>
      <c r="F13" s="162">
        <f>N697CP!U7</f>
        <v>1732.85</v>
      </c>
      <c r="G13" s="163">
        <f>N697CP!U8</f>
        <v>2550</v>
      </c>
      <c r="H13" s="164">
        <f>N697CP!U9</f>
        <v>2557</v>
      </c>
      <c r="I13" s="164">
        <f>N697CP!U10</f>
        <v>2550</v>
      </c>
      <c r="J13" s="165">
        <f>N697CP!T18</f>
        <v>53</v>
      </c>
      <c r="K13" s="166">
        <f>N697CP!T19</f>
        <v>35</v>
      </c>
      <c r="L13" s="709">
        <f>N697CP!U39</f>
        <v>499</v>
      </c>
      <c r="M13" s="710">
        <f>N697CP!U38</f>
        <v>607</v>
      </c>
      <c r="N13" s="712">
        <f>N697CP!U37</f>
        <v>817</v>
      </c>
      <c r="O13"/>
    </row>
    <row r="14" spans="2:16" s="148" customFormat="1" ht="22.5" customHeight="1" x14ac:dyDescent="0.2">
      <c r="B14" s="676"/>
      <c r="C14" s="157" t="str">
        <f>N990CP!Q1</f>
        <v>CAP 923</v>
      </c>
      <c r="D14" s="159" t="str">
        <f>N990CP!R1</f>
        <v>N990CP</v>
      </c>
      <c r="E14" s="161" t="str">
        <f>N990CP!S1</f>
        <v xml:space="preserve">(180hp C 172P)  </v>
      </c>
      <c r="F14" s="162">
        <f>N990CP!U7</f>
        <v>1691.83</v>
      </c>
      <c r="G14" s="170">
        <f>N990CP!U8</f>
        <v>2550</v>
      </c>
      <c r="H14" s="171">
        <f>N990CP!U9</f>
        <v>2557</v>
      </c>
      <c r="I14" s="171">
        <f>N990CP!U10</f>
        <v>2550</v>
      </c>
      <c r="J14" s="172">
        <f>N990CP!T18</f>
        <v>40</v>
      </c>
      <c r="K14" s="173">
        <f>N990CP!T19</f>
        <v>40</v>
      </c>
      <c r="L14" s="174">
        <f>N990CP!U39</f>
        <v>618</v>
      </c>
      <c r="M14" s="168">
        <f>N990CP!U38</f>
        <v>618</v>
      </c>
      <c r="N14" s="713">
        <f>N990CP!U37</f>
        <v>858</v>
      </c>
      <c r="O14"/>
    </row>
    <row r="15" spans="2:16" s="148" customFormat="1" ht="22.5" customHeight="1" x14ac:dyDescent="0.2">
      <c r="B15" s="676"/>
      <c r="C15" s="157" t="str">
        <f>N9433L!Q1</f>
        <v>CAP 941</v>
      </c>
      <c r="D15" s="159" t="str">
        <f>N9433L!R1</f>
        <v>N9433L</v>
      </c>
      <c r="E15" s="161" t="str">
        <f>N9433L!S1</f>
        <v xml:space="preserve">(180hp C 172P)  </v>
      </c>
      <c r="F15" s="169">
        <f>N9433L!U7</f>
        <v>1595</v>
      </c>
      <c r="G15" s="170">
        <f>N9433L!U8</f>
        <v>2550</v>
      </c>
      <c r="H15" s="171">
        <f>N9433L!U9</f>
        <v>2557</v>
      </c>
      <c r="I15" s="171">
        <f>N9433L!U11</f>
        <v>2550</v>
      </c>
      <c r="J15" s="172">
        <f>N9433L!T18</f>
        <v>40</v>
      </c>
      <c r="K15" s="173">
        <f>N9433L!T19</f>
        <v>40</v>
      </c>
      <c r="L15" s="174">
        <f>N9433L!U39</f>
        <v>715</v>
      </c>
      <c r="M15" s="175">
        <f>N9433L!U38</f>
        <v>715</v>
      </c>
      <c r="N15" s="714">
        <f>N9433L!U37</f>
        <v>955</v>
      </c>
      <c r="O15"/>
    </row>
    <row r="16" spans="2:16" s="148" customFormat="1" ht="22.5" hidden="1" customHeight="1" x14ac:dyDescent="0.2">
      <c r="B16" s="677"/>
      <c r="C16" s="156" t="str">
        <f>NoUnlockCAP1238!Q1</f>
        <v>CAP 1238</v>
      </c>
      <c r="D16" s="158" t="str">
        <f>NoUnlockCAP1238!R1</f>
        <v>N738CP</v>
      </c>
      <c r="E16" s="160" t="str">
        <f>NoUnlockCAP1238!S1</f>
        <v>(230hp C182T) Long Range Tanks</v>
      </c>
      <c r="F16" s="162">
        <f>NoUnlockCAP1238!U7</f>
        <v>2056.9</v>
      </c>
      <c r="G16" s="163">
        <f>NoUnlockCAP1238!U8</f>
        <v>3100</v>
      </c>
      <c r="H16" s="164">
        <f>NoUnlockCAP1238!U9</f>
        <v>3110</v>
      </c>
      <c r="I16" s="164">
        <f>NoUnlockCAP1238!U10</f>
        <v>2950</v>
      </c>
      <c r="J16" s="165">
        <f>NoUnlockCAP1238!T18</f>
        <v>87</v>
      </c>
      <c r="K16" s="166">
        <f>NoUnlockCAP1238!T19</f>
        <v>64</v>
      </c>
      <c r="L16" s="167">
        <f>NoUnlockCAP1238!U39</f>
        <v>521</v>
      </c>
      <c r="M16" s="168">
        <f>NoUnlockCAP1238!U38</f>
        <v>659</v>
      </c>
      <c r="N16" s="635">
        <f>NoUnlockCAP1238!U37</f>
        <v>1043</v>
      </c>
    </row>
    <row r="17" spans="2:16" s="148" customFormat="1" ht="22.5" hidden="1" customHeight="1" x14ac:dyDescent="0.2">
      <c r="B17" s="677"/>
      <c r="C17" s="156" t="str">
        <f>NoUnlockN471CP!Q1</f>
        <v>CAP 1259</v>
      </c>
      <c r="D17" s="158" t="str">
        <f>NoUnlockN471CP!R1</f>
        <v>N759PJ</v>
      </c>
      <c r="E17" s="160" t="str">
        <f>NoUnlockN471CP!S1</f>
        <v>(230hp C182Q) Long Range Tanks</v>
      </c>
      <c r="F17" s="162">
        <f>NoUnlockN471CP!U7</f>
        <v>1885.5</v>
      </c>
      <c r="G17" s="163">
        <f>NoUnlockN471CP!U8</f>
        <v>3100</v>
      </c>
      <c r="H17" s="164">
        <f>NoUnlockN471CP!U9</f>
        <v>3110</v>
      </c>
      <c r="I17" s="164">
        <f>NoUnlockN471CP!U10</f>
        <v>2950</v>
      </c>
      <c r="J17" s="165">
        <f>NoUnlockN471CP!T18</f>
        <v>75</v>
      </c>
      <c r="K17" s="166">
        <f>NoUnlockN471CP!T19</f>
        <v>75</v>
      </c>
      <c r="L17" s="167">
        <f>NoUnlockN471CP!U39</f>
        <v>764</v>
      </c>
      <c r="M17" s="168">
        <f>NoUnlockN471CP!U38</f>
        <v>764</v>
      </c>
      <c r="N17" s="633">
        <f>NoUnlockN471CP!U37</f>
        <v>1214</v>
      </c>
    </row>
    <row r="18" spans="2:16" s="148" customFormat="1" ht="22.5" customHeight="1" x14ac:dyDescent="0.2">
      <c r="B18" s="677"/>
      <c r="C18" s="156" t="str">
        <f>N237CP!Q1</f>
        <v>CAP 9437</v>
      </c>
      <c r="D18" s="158" t="str">
        <f>N237CP!R1</f>
        <v>N237CP</v>
      </c>
      <c r="E18" s="160" t="str">
        <f>N237CP!S1</f>
        <v>(230hp C182T) Long Range Tanks</v>
      </c>
      <c r="F18" s="162">
        <f>N237CP!U7</f>
        <v>2027.31</v>
      </c>
      <c r="G18" s="163">
        <f>N237CP!U8</f>
        <v>3100</v>
      </c>
      <c r="H18" s="164">
        <f>N237CP!U9</f>
        <v>3110</v>
      </c>
      <c r="I18" s="164">
        <f>N237CP!U10</f>
        <v>2950</v>
      </c>
      <c r="J18" s="165">
        <f>N237CP!T18</f>
        <v>87</v>
      </c>
      <c r="K18" s="166">
        <f>N237CP!T19</f>
        <v>64</v>
      </c>
      <c r="L18" s="167">
        <f>N237CP!U39</f>
        <v>550</v>
      </c>
      <c r="M18" s="168">
        <f>N237CP!U38</f>
        <v>688</v>
      </c>
      <c r="N18" s="633">
        <f>N237CP!U37</f>
        <v>1072</v>
      </c>
    </row>
    <row r="19" spans="2:16" s="148" customFormat="1" ht="22.5" customHeight="1" x14ac:dyDescent="0.2">
      <c r="B19" s="677"/>
      <c r="C19" s="157" t="str">
        <f>N288CP!Q1</f>
        <v>CAP 929</v>
      </c>
      <c r="D19" s="159" t="str">
        <f>N288CP!R1</f>
        <v>N288CP</v>
      </c>
      <c r="E19" s="161" t="str">
        <f>N288CP!S1</f>
        <v>(230hp C182T) Long Range Tanks</v>
      </c>
      <c r="F19" s="169">
        <f>N288CP!U7</f>
        <v>2059.8000000000002</v>
      </c>
      <c r="G19" s="170">
        <f>N288CP!U8</f>
        <v>3100</v>
      </c>
      <c r="H19" s="171">
        <f>N288CP!U9</f>
        <v>3110</v>
      </c>
      <c r="I19" s="171">
        <f>N288CP!U10</f>
        <v>2950</v>
      </c>
      <c r="J19" s="172">
        <f>N288CP!T18</f>
        <v>87</v>
      </c>
      <c r="K19" s="173">
        <f>N288CP!T19</f>
        <v>64</v>
      </c>
      <c r="L19" s="174">
        <f>N288CP!U39</f>
        <v>518</v>
      </c>
      <c r="M19" s="175">
        <f>N288CP!U38</f>
        <v>656</v>
      </c>
      <c r="N19" s="635">
        <f>N288CP!U37</f>
        <v>1040</v>
      </c>
      <c r="O19" s="673"/>
      <c r="P19" s="674"/>
    </row>
    <row r="20" spans="2:16" s="148" customFormat="1" ht="22.5" customHeight="1" x14ac:dyDescent="0.2">
      <c r="B20" s="677"/>
      <c r="C20" s="690" t="str">
        <f>N380CV!Q1</f>
        <v>CAP 926</v>
      </c>
      <c r="D20" s="691" t="str">
        <f>N380CV!R1</f>
        <v>N380CV</v>
      </c>
      <c r="E20" s="692" t="str">
        <f>N380CV!S1</f>
        <v>(230hp C182T) Long Range Tanks</v>
      </c>
      <c r="F20" s="693">
        <f>N380CV!U7</f>
        <v>2039.06</v>
      </c>
      <c r="G20" s="694">
        <f>N380CV!U8</f>
        <v>3100</v>
      </c>
      <c r="H20" s="695">
        <f>N380CV!U9</f>
        <v>3110</v>
      </c>
      <c r="I20" s="695">
        <f>N380CV!U10</f>
        <v>2950</v>
      </c>
      <c r="J20" s="696">
        <f>N380CV!T18</f>
        <v>87</v>
      </c>
      <c r="K20" s="697">
        <f>N380CV!T19</f>
        <v>64</v>
      </c>
      <c r="L20" s="698">
        <f>N380CV!U39</f>
        <v>538</v>
      </c>
      <c r="M20" s="699">
        <f>N380CV!U38</f>
        <v>676</v>
      </c>
      <c r="N20" s="700">
        <f>N380CV!U37</f>
        <v>1060</v>
      </c>
    </row>
    <row r="21" spans="2:16" s="148" customFormat="1" ht="22.5" customHeight="1" x14ac:dyDescent="0.2">
      <c r="B21" s="677"/>
      <c r="C21" s="156" t="str">
        <f>N402CV!Q1</f>
        <v>CAP 930</v>
      </c>
      <c r="D21" s="158" t="str">
        <f>N402CV!R1</f>
        <v>N402CV</v>
      </c>
      <c r="E21" s="160" t="str">
        <f>N402CV!S1</f>
        <v>(230hp C182T) Long Range Tanks</v>
      </c>
      <c r="F21" s="162">
        <f>N402CV!U7</f>
        <v>2039.06</v>
      </c>
      <c r="G21" s="163">
        <f>N402CV!U8</f>
        <v>3100</v>
      </c>
      <c r="H21" s="164">
        <f>N402CV!U9</f>
        <v>3110</v>
      </c>
      <c r="I21" s="164">
        <f>N402CV!U10</f>
        <v>2950</v>
      </c>
      <c r="J21" s="165">
        <f>N402CV!T18</f>
        <v>87</v>
      </c>
      <c r="K21" s="166">
        <f>N402CV!T19</f>
        <v>64</v>
      </c>
      <c r="L21" s="167">
        <f>N402CV!U39</f>
        <v>538</v>
      </c>
      <c r="M21" s="168">
        <f>N402CV!U38</f>
        <v>676</v>
      </c>
      <c r="N21" s="633">
        <f>N402CV!U37</f>
        <v>1060</v>
      </c>
    </row>
    <row r="22" spans="2:16" s="148" customFormat="1" ht="22.5" customHeight="1" x14ac:dyDescent="0.2">
      <c r="B22" s="677"/>
      <c r="C22" s="156" t="str">
        <f>N493CP!Q1</f>
        <v>CAP 939</v>
      </c>
      <c r="D22" s="158" t="str">
        <f>N493CP!R1</f>
        <v>N493CP</v>
      </c>
      <c r="E22" s="160" t="str">
        <f>N493CP!S1</f>
        <v>(230hp C182T) Long Range Tanks</v>
      </c>
      <c r="F22" s="162">
        <f>N493CP!U7</f>
        <v>2042</v>
      </c>
      <c r="G22" s="163">
        <f>N493CP!U8</f>
        <v>3100</v>
      </c>
      <c r="H22" s="164">
        <f>N493CP!U9</f>
        <v>3110</v>
      </c>
      <c r="I22" s="164">
        <f>N493CP!U10</f>
        <v>2950</v>
      </c>
      <c r="J22" s="165">
        <f>N493CP!T18</f>
        <v>87</v>
      </c>
      <c r="K22" s="166">
        <f>N493CP!T19</f>
        <v>64</v>
      </c>
      <c r="L22" s="167">
        <f>N493CP!U39</f>
        <v>536</v>
      </c>
      <c r="M22" s="168">
        <f>N493CP!U38</f>
        <v>674</v>
      </c>
      <c r="N22" s="700">
        <f>N493CP!U37</f>
        <v>1058</v>
      </c>
    </row>
    <row r="23" spans="2:16" s="148" customFormat="1" ht="22.5" hidden="1" customHeight="1" x14ac:dyDescent="0.2">
      <c r="B23" s="677"/>
      <c r="C23" s="690" t="str">
        <f>NxxxCP!Q1</f>
        <v xml:space="preserve">CAP </v>
      </c>
      <c r="D23" s="691" t="str">
        <f>NxxxCP!R1</f>
        <v>Nxxx</v>
      </c>
      <c r="E23" s="692" t="str">
        <f>NxxxCP!S1</f>
        <v>(230hp C182T) Long Range Tanks</v>
      </c>
      <c r="F23" s="693">
        <f>NxxxCP!U7</f>
        <v>2034.8</v>
      </c>
      <c r="G23" s="694">
        <f>NxxxCP!U8</f>
        <v>3100</v>
      </c>
      <c r="H23" s="695">
        <f>NxxxCP!U9</f>
        <v>3110</v>
      </c>
      <c r="I23" s="695">
        <f>NxxxCP!U10</f>
        <v>2950</v>
      </c>
      <c r="J23" s="696">
        <f>NxxxCP!T18</f>
        <v>87</v>
      </c>
      <c r="K23" s="697">
        <f>NxxxCP!T19</f>
        <v>64</v>
      </c>
      <c r="L23" s="698">
        <f>NxxxCP!U39</f>
        <v>543</v>
      </c>
      <c r="M23" s="699">
        <f>NxxxCP!U38</f>
        <v>681</v>
      </c>
      <c r="N23" s="700">
        <f>NxxxCP!U37</f>
        <v>1065</v>
      </c>
    </row>
    <row r="24" spans="2:16" s="148" customFormat="1" ht="22.5" hidden="1" customHeight="1" x14ac:dyDescent="0.2">
      <c r="B24" s="677"/>
      <c r="C24" s="156"/>
      <c r="D24" s="158"/>
      <c r="E24" s="160"/>
      <c r="F24" s="162"/>
      <c r="G24" s="163"/>
      <c r="H24" s="164"/>
      <c r="I24" s="164"/>
      <c r="J24" s="165"/>
      <c r="K24" s="166"/>
      <c r="L24" s="167"/>
      <c r="M24" s="168"/>
      <c r="N24" s="634"/>
    </row>
    <row r="25" spans="2:16" s="148" customFormat="1" ht="22.5" hidden="1" customHeight="1" x14ac:dyDescent="0.2">
      <c r="B25" s="678"/>
      <c r="C25" s="157" t="b">
        <f>C20=N380CV!Q1</f>
        <v>1</v>
      </c>
      <c r="D25" s="159" t="str">
        <f>N380CV!R1</f>
        <v>N380CV</v>
      </c>
      <c r="E25" s="161" t="str">
        <f>N380CV!S1</f>
        <v>(230hp C182T) Long Range Tanks</v>
      </c>
      <c r="F25" s="169">
        <f>N471CP!W7</f>
        <v>2411.4</v>
      </c>
      <c r="G25" s="170">
        <f>N471CP!W8</f>
        <v>4000</v>
      </c>
      <c r="H25" s="171">
        <f>N471CP!W9</f>
        <v>4010</v>
      </c>
      <c r="I25" s="171">
        <f>N471CP!W10</f>
        <v>4000</v>
      </c>
      <c r="J25" s="172">
        <f>N471CP!V18</f>
        <v>87</v>
      </c>
      <c r="K25" s="173">
        <f>N471CP!V19</f>
        <v>66</v>
      </c>
      <c r="L25" s="174">
        <f>N471CP!W44</f>
        <v>1066</v>
      </c>
      <c r="M25" s="175">
        <f>N471CP!W43</f>
        <v>1192</v>
      </c>
      <c r="N25" s="635">
        <f>N471CP!W42</f>
        <v>1588</v>
      </c>
    </row>
    <row r="26" spans="2:16" ht="22.5" customHeight="1" thickBot="1" x14ac:dyDescent="0.25">
      <c r="B26" s="151"/>
      <c r="C26" s="157" t="str">
        <f>GA8N470CP!S1</f>
        <v>CAP 9970</v>
      </c>
      <c r="D26" s="159" t="str">
        <f>GA8N470CP!T1</f>
        <v>N470CP</v>
      </c>
      <c r="E26" s="161" t="str">
        <f>GA8N470CP!U1</f>
        <v>(300HP Gipplsand GA8)</v>
      </c>
      <c r="F26" s="169">
        <f>GA8N470CP!W7</f>
        <v>2389</v>
      </c>
      <c r="G26" s="170">
        <f>GA8N470CP!W8</f>
        <v>4000</v>
      </c>
      <c r="H26" s="171">
        <f>GA8N470CP!W9</f>
        <v>4010</v>
      </c>
      <c r="I26" s="171">
        <f>GA8N470CP!W10</f>
        <v>4000</v>
      </c>
      <c r="J26" s="172">
        <f>GA8N470CP!V18</f>
        <v>87</v>
      </c>
      <c r="K26" s="173">
        <f>GA8N470CP!V19</f>
        <v>66</v>
      </c>
      <c r="L26" s="176">
        <f>GA8N470CP!W44</f>
        <v>1089</v>
      </c>
      <c r="M26" s="177">
        <f>GA8N470CP!W43</f>
        <v>1215</v>
      </c>
      <c r="N26" s="715">
        <f>GA8N470CP!W42</f>
        <v>1611</v>
      </c>
    </row>
    <row r="27" spans="2:16" ht="13.5" thickTop="1" x14ac:dyDescent="0.2"/>
    <row r="28" spans="2:16" x14ac:dyDescent="0.2">
      <c r="E28" s="675" t="s">
        <v>256</v>
      </c>
    </row>
  </sheetData>
  <sheetProtection algorithmName="SHA-512" hashValue="svcnLYJLpEgoke7z4VNUTprQx24g+QFE89T9gC4NCERpp6QokkCZHMvI/iEh7ww9Ird+WceXbo4uReFw80IfXA==" saltValue="xxofxtnR18qRhh2+yRLPWg==" spinCount="100000" sheet="1" selectLockedCells="1"/>
  <mergeCells count="5">
    <mergeCell ref="K1:N4"/>
    <mergeCell ref="C1:J1"/>
    <mergeCell ref="E6:E7"/>
    <mergeCell ref="F2:F4"/>
    <mergeCell ref="L5:N7"/>
  </mergeCells>
  <conditionalFormatting sqref="K5">
    <cfRule type="expression" dxfId="1277" priority="156" stopIfTrue="1">
      <formula>F5&gt;=1</formula>
    </cfRule>
  </conditionalFormatting>
  <conditionalFormatting sqref="C1">
    <cfRule type="expression" dxfId="1276" priority="78" stopIfTrue="1">
      <formula>expired=TRUE</formula>
    </cfRule>
    <cfRule type="expression" dxfId="1275" priority="79" stopIfTrue="1">
      <formula>OR(old_ver=TRUE,exp_warn=TRUE)</formula>
    </cfRule>
  </conditionalFormatting>
  <conditionalFormatting sqref="L12:M12 L16:M17 L9:M10 L20:M26 L14:M14">
    <cfRule type="expression" dxfId="1274" priority="77">
      <formula>$F$5&gt;L9</formula>
    </cfRule>
  </conditionalFormatting>
  <conditionalFormatting sqref="C9:C10 C12 C14:C26">
    <cfRule type="expression" dxfId="1273" priority="76">
      <formula>AND($F$5&gt;L9,$F$5&gt;M9)</formula>
    </cfRule>
  </conditionalFormatting>
  <conditionalFormatting sqref="D9:D10 D12 D14:D26">
    <cfRule type="expression" dxfId="1272" priority="75">
      <formula>AND($F$5&gt;L9,$F$5&gt;M9)</formula>
    </cfRule>
  </conditionalFormatting>
  <conditionalFormatting sqref="E9:E10 E12 E14:E26">
    <cfRule type="expression" dxfId="1271" priority="74">
      <formula>AND($F$5&gt;L9,$F$5&gt;M9)</formula>
    </cfRule>
  </conditionalFormatting>
  <conditionalFormatting sqref="F9:F10 F12 F14:F26">
    <cfRule type="expression" dxfId="1270" priority="73">
      <formula>AND($F$5&gt;L9,$F$5&gt;M9)</formula>
    </cfRule>
  </conditionalFormatting>
  <conditionalFormatting sqref="G9:G10 G12 G14:G26">
    <cfRule type="expression" dxfId="1269" priority="72">
      <formula>AND($F$5&gt;L9,$F$5&gt;M9)</formula>
    </cfRule>
  </conditionalFormatting>
  <conditionalFormatting sqref="H9:H10 H12 H14:H26">
    <cfRule type="expression" dxfId="1268" priority="71">
      <formula>AND($F$5&gt;L9,$F$5&gt;M9)</formula>
    </cfRule>
  </conditionalFormatting>
  <conditionalFormatting sqref="I9:I10 I12 I14:I26">
    <cfRule type="expression" dxfId="1267" priority="70">
      <formula>AND($F$5&gt;L9,$F$5&gt;M9)</formula>
    </cfRule>
  </conditionalFormatting>
  <conditionalFormatting sqref="J9:J10 J12 J14:J26">
    <cfRule type="expression" dxfId="1266" priority="69">
      <formula>AND($F$5&gt;L9,$F$5&gt;M9)</formula>
    </cfRule>
  </conditionalFormatting>
  <conditionalFormatting sqref="K9:K10 K12 K14:K26">
    <cfRule type="expression" dxfId="1265" priority="68">
      <formula>AND($F$5&gt;L9,$F$5&gt;M9)</formula>
    </cfRule>
  </conditionalFormatting>
  <conditionalFormatting sqref="L11:M11">
    <cfRule type="expression" dxfId="1264" priority="67">
      <formula>$F$5&gt;L11</formula>
    </cfRule>
  </conditionalFormatting>
  <conditionalFormatting sqref="C11">
    <cfRule type="expression" dxfId="1263" priority="66">
      <formula>AND($F$5&gt;L11,$F$5&gt;M11)</formula>
    </cfRule>
  </conditionalFormatting>
  <conditionalFormatting sqref="D11">
    <cfRule type="expression" dxfId="1262" priority="65">
      <formula>AND($F$5&gt;L11,$F$5&gt;M11)</formula>
    </cfRule>
  </conditionalFormatting>
  <conditionalFormatting sqref="E11">
    <cfRule type="expression" dxfId="1261" priority="64">
      <formula>AND($F$5&gt;L11,$F$5&gt;M11)</formula>
    </cfRule>
  </conditionalFormatting>
  <conditionalFormatting sqref="F11">
    <cfRule type="expression" dxfId="1260" priority="63">
      <formula>AND($F$5&gt;L11,$F$5&gt;M11)</formula>
    </cfRule>
  </conditionalFormatting>
  <conditionalFormatting sqref="G11">
    <cfRule type="expression" dxfId="1259" priority="62">
      <formula>AND($F$5&gt;L11,$F$5&gt;M11)</formula>
    </cfRule>
  </conditionalFormatting>
  <conditionalFormatting sqref="H11">
    <cfRule type="expression" dxfId="1258" priority="61">
      <formula>AND($F$5&gt;L11,$F$5&gt;M11)</formula>
    </cfRule>
  </conditionalFormatting>
  <conditionalFormatting sqref="I11">
    <cfRule type="expression" dxfId="1257" priority="60">
      <formula>AND($F$5&gt;L11,$F$5&gt;M11)</formula>
    </cfRule>
  </conditionalFormatting>
  <conditionalFormatting sqref="J11">
    <cfRule type="expression" dxfId="1256" priority="59">
      <formula>AND($F$5&gt;L11,$F$5&gt;M11)</formula>
    </cfRule>
  </conditionalFormatting>
  <conditionalFormatting sqref="K11">
    <cfRule type="expression" dxfId="1255" priority="58">
      <formula>AND($F$5&gt;L11,$F$5&gt;M11)</formula>
    </cfRule>
  </conditionalFormatting>
  <conditionalFormatting sqref="L18:M18">
    <cfRule type="expression" dxfId="1254" priority="56">
      <formula>$F$5&gt;L18</formula>
    </cfRule>
  </conditionalFormatting>
  <conditionalFormatting sqref="L15:M15">
    <cfRule type="expression" dxfId="1253" priority="38">
      <formula>$F$5&gt;L15</formula>
    </cfRule>
  </conditionalFormatting>
  <conditionalFormatting sqref="L19:M20">
    <cfRule type="expression" dxfId="1252" priority="25">
      <formula>$F$5&gt;L19</formula>
    </cfRule>
  </conditionalFormatting>
  <conditionalFormatting sqref="L13:M13">
    <cfRule type="expression" dxfId="1251" priority="18">
      <formula>$F$5&gt;L13</formula>
    </cfRule>
  </conditionalFormatting>
  <conditionalFormatting sqref="C13">
    <cfRule type="expression" dxfId="1250" priority="17">
      <formula>AND($F$5&gt;L13,$F$5&gt;M13)</formula>
    </cfRule>
  </conditionalFormatting>
  <conditionalFormatting sqref="D13">
    <cfRule type="expression" dxfId="1249" priority="8">
      <formula>AND($F$5&gt;L13,$F$5&gt;M13)</formula>
    </cfRule>
  </conditionalFormatting>
  <conditionalFormatting sqref="E13">
    <cfRule type="expression" dxfId="1248" priority="7">
      <formula>AND($F$5&gt;L13,$F$5&gt;M13)</formula>
    </cfRule>
  </conditionalFormatting>
  <conditionalFormatting sqref="F13">
    <cfRule type="expression" dxfId="1247" priority="6">
      <formula>AND($F$5&gt;L13,$F$5&gt;M13)</formula>
    </cfRule>
  </conditionalFormatting>
  <conditionalFormatting sqref="G13">
    <cfRule type="expression" dxfId="1246" priority="5">
      <formula>AND($F$5&gt;L13,$F$5&gt;M13)</formula>
    </cfRule>
  </conditionalFormatting>
  <conditionalFormatting sqref="H13">
    <cfRule type="expression" dxfId="1245" priority="4">
      <formula>AND($F$5&gt;L13,$F$5&gt;M13)</formula>
    </cfRule>
  </conditionalFormatting>
  <conditionalFormatting sqref="I13">
    <cfRule type="expression" dxfId="1244" priority="3">
      <formula>AND($F$5&gt;L13,$F$5&gt;M13)</formula>
    </cfRule>
  </conditionalFormatting>
  <conditionalFormatting sqref="J13">
    <cfRule type="expression" dxfId="1243" priority="2">
      <formula>AND($F$5&gt;L13,$F$5&gt;M13)</formula>
    </cfRule>
  </conditionalFormatting>
  <conditionalFormatting sqref="K13">
    <cfRule type="expression" dxfId="1242" priority="1">
      <formula>AND($F$5&gt;L13,$F$5&gt;M13)</formula>
    </cfRule>
  </conditionalFormatting>
  <pageMargins left="0.2" right="0.2" top="0.75" bottom="0.75" header="0.3" footer="0.3"/>
  <pageSetup scale="95" orientation="landscape" r:id="rId1"/>
  <ignoredErrors>
    <ignoredError sqref="C13:E13 N13 F13:M13" formula="1"/>
  </ignoredErrors>
  <drawing r:id="rId2"/>
  <legacyDrawing r:id="rId3"/>
  <controls>
    <mc:AlternateContent xmlns:mc="http://schemas.openxmlformats.org/markup-compatibility/2006">
      <mc:Choice Requires="x14">
        <control shapeId="234504" r:id="rId4" name="ScrollBar1">
          <controlPr defaultSize="0" autoLine="0" linkedCell="F5" r:id="rId5">
            <anchor moveWithCells="1">
              <from>
                <xdr:col>6</xdr:col>
                <xdr:colOff>76200</xdr:colOff>
                <xdr:row>4</xdr:row>
                <xdr:rowOff>28575</xdr:rowOff>
              </from>
              <to>
                <xdr:col>8</xdr:col>
                <xdr:colOff>457200</xdr:colOff>
                <xdr:row>4</xdr:row>
                <xdr:rowOff>161925</xdr:rowOff>
              </to>
            </anchor>
          </controlPr>
        </control>
      </mc:Choice>
      <mc:Fallback>
        <control shapeId="234504" r:id="rId4" name="ScrollBar1"/>
      </mc:Fallback>
    </mc:AlternateContent>
  </control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003300"/>
    <pageSetUpPr fitToPage="1"/>
  </sheetPr>
  <dimension ref="B1:AL68"/>
  <sheetViews>
    <sheetView showGridLines="0" showRowColHeaders="0" zoomScaleNormal="100" workbookViewId="0">
      <selection activeCell="C7" sqref="C7:D8"/>
    </sheetView>
  </sheetViews>
  <sheetFormatPr defaultRowHeight="12.75" x14ac:dyDescent="0.2"/>
  <cols>
    <col min="1" max="1" width="1.28515625" customWidth="1"/>
    <col min="2" max="2" width="14.28515625" customWidth="1"/>
    <col min="3" max="4" width="3.7109375" customWidth="1"/>
    <col min="5" max="5" width="4.7109375" customWidth="1"/>
    <col min="6" max="7" width="3.7109375" customWidth="1"/>
    <col min="8" max="8" width="4.7109375" customWidth="1"/>
    <col min="9" max="9" width="1.5703125" customWidth="1"/>
    <col min="10" max="10" width="1.85546875" customWidth="1"/>
    <col min="11" max="11" width="19" customWidth="1"/>
    <col min="12" max="13" width="10.28515625" customWidth="1"/>
    <col min="14" max="14" width="11.85546875" customWidth="1"/>
    <col min="15" max="15" width="37" customWidth="1"/>
    <col min="16" max="17" width="4.7109375" customWidth="1"/>
    <col min="18" max="18" width="11.7109375" style="41" hidden="1" customWidth="1"/>
    <col min="19" max="19" width="9.7109375" style="41" hidden="1" customWidth="1"/>
    <col min="20" max="20" width="8.42578125" style="41" hidden="1" customWidth="1"/>
    <col min="21" max="21" width="19" style="41" hidden="1" customWidth="1"/>
    <col min="22" max="24" width="7.7109375" style="41" hidden="1" customWidth="1"/>
    <col min="25" max="25" width="29.42578125" style="41" hidden="1" customWidth="1"/>
    <col min="26" max="27" width="3.85546875" hidden="1" customWidth="1"/>
    <col min="28" max="37" width="9" hidden="1" customWidth="1"/>
    <col min="38" max="38" width="8.85546875" hidden="1" customWidth="1"/>
  </cols>
  <sheetData>
    <row r="1" spans="2:38" ht="24" customHeight="1" thickBot="1" x14ac:dyDescent="0.25">
      <c r="B1" s="807" t="str">
        <f ca="1">status_msg</f>
        <v/>
      </c>
      <c r="C1" s="807"/>
      <c r="D1" s="807"/>
      <c r="E1" s="807"/>
      <c r="F1" s="807"/>
      <c r="G1" s="807"/>
      <c r="H1" s="807"/>
      <c r="I1" s="807"/>
      <c r="J1" s="807"/>
      <c r="K1" s="576" t="str">
        <f>S1</f>
        <v>CAP 9970</v>
      </c>
      <c r="L1" s="576" t="str">
        <f>T1</f>
        <v>N470CP</v>
      </c>
      <c r="M1" s="577"/>
      <c r="N1" s="578" t="str">
        <f>U1</f>
        <v>(300HP Gipplsand GA8)</v>
      </c>
      <c r="O1" s="577"/>
      <c r="R1" s="354"/>
      <c r="S1" s="355" t="s">
        <v>150</v>
      </c>
      <c r="T1" s="355" t="s">
        <v>149</v>
      </c>
      <c r="U1" s="356" t="s">
        <v>185</v>
      </c>
      <c r="V1" s="356"/>
      <c r="W1" s="357"/>
      <c r="X1" s="357"/>
      <c r="Y1" s="357"/>
      <c r="Z1" s="357"/>
      <c r="AA1" s="357"/>
      <c r="AB1" s="357"/>
      <c r="AC1" s="357"/>
      <c r="AD1" s="357"/>
      <c r="AE1" s="357"/>
      <c r="AF1" s="357"/>
      <c r="AG1" s="357"/>
      <c r="AH1" s="357"/>
      <c r="AI1" s="357"/>
      <c r="AJ1" s="357"/>
      <c r="AK1" s="357"/>
      <c r="AL1" s="357"/>
    </row>
    <row r="2" spans="2:38" ht="15" customHeight="1" thickTop="1" thickBot="1" x14ac:dyDescent="0.25">
      <c r="B2" s="137" t="s">
        <v>131</v>
      </c>
      <c r="C2" s="847"/>
      <c r="D2" s="847"/>
      <c r="E2" s="847"/>
      <c r="F2" s="848"/>
      <c r="G2" s="142" t="str">
        <f>IF(D3="","mm/dd/yy","(if not today)")</f>
        <v>mm/dd/yy</v>
      </c>
      <c r="H2" s="604"/>
      <c r="J2" s="523"/>
      <c r="K2" s="138" t="s">
        <v>131</v>
      </c>
      <c r="L2" s="810" t="str">
        <f>IF(C3="","","Mission Symbol")&amp;"   Mission No:"</f>
        <v xml:space="preserve">   Mission No:</v>
      </c>
      <c r="M2" s="810"/>
      <c r="N2" s="525" t="s">
        <v>130</v>
      </c>
      <c r="R2" s="358"/>
      <c r="S2" s="359" t="s">
        <v>173</v>
      </c>
      <c r="T2" s="359" t="s">
        <v>145</v>
      </c>
      <c r="U2" s="360" t="s">
        <v>172</v>
      </c>
      <c r="V2" s="361"/>
      <c r="W2" s="357"/>
      <c r="X2" s="357"/>
      <c r="Y2" s="357"/>
      <c r="Z2" s="357"/>
      <c r="AA2" s="357"/>
      <c r="AB2" s="357"/>
      <c r="AC2" s="357"/>
      <c r="AD2" s="357"/>
      <c r="AE2" s="357"/>
      <c r="AF2" s="357"/>
      <c r="AG2" s="357"/>
      <c r="AH2" s="357"/>
      <c r="AI2" s="357"/>
      <c r="AJ2" s="357"/>
      <c r="AK2" s="357"/>
      <c r="AL2" s="357"/>
    </row>
    <row r="3" spans="2:38" ht="15" customHeight="1" thickTop="1" thickBot="1" x14ac:dyDescent="0.25">
      <c r="B3" s="140" t="s">
        <v>137</v>
      </c>
      <c r="C3" s="630"/>
      <c r="D3" s="849"/>
      <c r="E3" s="830"/>
      <c r="F3" s="850"/>
      <c r="K3" s="131" t="str">
        <f ca="1">IF(AND(D3="",C2=""),"",IF(C2="",TODAY(),C2))</f>
        <v/>
      </c>
      <c r="L3" s="813" t="str">
        <f>IF(C3="","",IF(D3="","",C3))&amp;"      "&amp;IF(D3="","",D3)</f>
        <v xml:space="preserve">      </v>
      </c>
      <c r="M3" s="814"/>
      <c r="N3" s="132" t="str">
        <f>IF(C4="","",C4)</f>
        <v/>
      </c>
      <c r="R3" s="362"/>
      <c r="S3" s="363"/>
      <c r="T3" s="363"/>
      <c r="U3" s="357"/>
      <c r="V3" s="357"/>
      <c r="W3" s="357"/>
      <c r="X3" s="357"/>
      <c r="Y3" s="357"/>
      <c r="Z3" s="357"/>
      <c r="AA3" s="357"/>
      <c r="AB3" s="357"/>
      <c r="AC3" s="357"/>
      <c r="AD3" s="357"/>
      <c r="AE3" s="357"/>
      <c r="AF3" s="357"/>
      <c r="AG3" s="357"/>
      <c r="AH3" s="357"/>
      <c r="AI3" s="357"/>
      <c r="AJ3" s="357"/>
      <c r="AK3" s="357"/>
      <c r="AL3" s="357"/>
    </row>
    <row r="4" spans="2:38" ht="15" customHeight="1" thickTop="1" x14ac:dyDescent="0.2">
      <c r="B4" s="140" t="s">
        <v>130</v>
      </c>
      <c r="C4" s="845"/>
      <c r="D4" s="846"/>
      <c r="E4" s="140"/>
      <c r="F4" s="140"/>
      <c r="L4" s="139"/>
      <c r="R4" s="553" t="s">
        <v>222</v>
      </c>
      <c r="S4" s="366"/>
      <c r="T4" s="366"/>
      <c r="U4" s="357"/>
      <c r="V4" s="367" t="s">
        <v>98</v>
      </c>
      <c r="W4" s="368"/>
      <c r="X4" s="369" t="s">
        <v>99</v>
      </c>
      <c r="Y4" s="357"/>
      <c r="Z4" s="357"/>
      <c r="AA4" s="357"/>
      <c r="AB4" s="357"/>
      <c r="AC4" s="357"/>
      <c r="AD4" s="374" t="s">
        <v>163</v>
      </c>
      <c r="AE4" s="371"/>
      <c r="AF4" s="371"/>
      <c r="AG4" s="371"/>
      <c r="AH4" s="371"/>
      <c r="AI4" s="371"/>
      <c r="AJ4" s="357"/>
      <c r="AK4" s="357"/>
      <c r="AL4" s="357"/>
    </row>
    <row r="5" spans="2:38" ht="12" customHeight="1" thickBot="1" x14ac:dyDescent="0.25">
      <c r="E5" s="612" t="str">
        <f>IF(SUM(W31:W34)&gt;0,"=Seat(s) REMOVED","")</f>
        <v/>
      </c>
      <c r="K5" s="184" t="s">
        <v>151</v>
      </c>
      <c r="L5" s="36"/>
      <c r="M5" s="36"/>
      <c r="N5" s="36"/>
      <c r="O5" s="134" t="str">
        <f>"Release ID:   "&amp;release_nbr&amp;"    "&amp;TEXT(release_date,"dd mmm yyyy  ")</f>
        <v xml:space="preserve">Release ID:   R1    21 Mar 2020  </v>
      </c>
      <c r="R5" s="362"/>
      <c r="S5" s="357"/>
      <c r="T5" s="357"/>
      <c r="U5" s="357"/>
      <c r="V5" s="357"/>
      <c r="W5" s="357"/>
      <c r="X5" s="357"/>
      <c r="Y5" s="357"/>
      <c r="Z5" s="357"/>
      <c r="AA5" s="357"/>
      <c r="AB5" s="357"/>
      <c r="AC5" s="357"/>
      <c r="AD5" s="357"/>
      <c r="AE5" s="382"/>
      <c r="AF5" s="383" t="s">
        <v>162</v>
      </c>
      <c r="AG5" s="357"/>
      <c r="AH5" s="357"/>
      <c r="AI5" s="357"/>
      <c r="AJ5" s="357"/>
      <c r="AK5" s="357"/>
      <c r="AL5" s="357"/>
    </row>
    <row r="6" spans="2:38" ht="12.75" customHeight="1" thickTop="1" thickBot="1" x14ac:dyDescent="0.35">
      <c r="B6" s="3" t="s">
        <v>31</v>
      </c>
      <c r="G6" s="613" t="s">
        <v>236</v>
      </c>
      <c r="K6" s="37" t="s">
        <v>0</v>
      </c>
      <c r="L6" s="38" t="s">
        <v>1</v>
      </c>
      <c r="M6" s="38" t="s">
        <v>2</v>
      </c>
      <c r="N6" s="39" t="s">
        <v>87</v>
      </c>
      <c r="O6" s="133" t="s">
        <v>3</v>
      </c>
      <c r="R6" s="362"/>
      <c r="S6" s="370" t="s">
        <v>120</v>
      </c>
      <c r="T6" s="371"/>
      <c r="U6" s="371"/>
      <c r="V6" s="371"/>
      <c r="W6" s="372" t="s">
        <v>1</v>
      </c>
      <c r="X6" s="372" t="s">
        <v>2</v>
      </c>
      <c r="Y6" s="373" t="s">
        <v>179</v>
      </c>
      <c r="Z6" s="357"/>
      <c r="AA6" s="386"/>
      <c r="AB6" s="387"/>
      <c r="AC6" s="388">
        <v>4000</v>
      </c>
      <c r="AD6" s="41"/>
      <c r="AE6" s="624">
        <f>AC6</f>
        <v>4000</v>
      </c>
      <c r="AF6" s="357"/>
      <c r="AG6" s="41"/>
      <c r="AH6" s="389">
        <v>56</v>
      </c>
      <c r="AI6" s="41"/>
      <c r="AJ6" s="390">
        <v>64</v>
      </c>
      <c r="AK6" s="357"/>
      <c r="AL6" s="357"/>
    </row>
    <row r="7" spans="2:38" ht="15" customHeight="1" thickTop="1" x14ac:dyDescent="0.2">
      <c r="B7" s="803" t="s">
        <v>32</v>
      </c>
      <c r="C7" s="840"/>
      <c r="D7" s="841"/>
      <c r="E7" s="609">
        <v>0</v>
      </c>
      <c r="F7" s="840"/>
      <c r="G7" s="841"/>
      <c r="H7" s="609">
        <f>IF(H8=TRUE,$X$31*-1,0)</f>
        <v>0</v>
      </c>
      <c r="J7" s="1"/>
      <c r="K7" s="97" t="s">
        <v>4</v>
      </c>
      <c r="L7" s="98">
        <f>W7</f>
        <v>2389</v>
      </c>
      <c r="M7" s="99">
        <f>X7</f>
        <v>54.88</v>
      </c>
      <c r="N7" s="100">
        <f>ROUND(L7*M7/1000,5)</f>
        <v>131.10831999999999</v>
      </c>
      <c r="O7" s="14" t="str">
        <f>Y7</f>
        <v>W/B: Stephen Duquette 17-Dec-2010</v>
      </c>
      <c r="R7" s="362"/>
      <c r="S7" s="601" t="str">
        <f>"Ln"&amp;ROW()</f>
        <v>Ln7</v>
      </c>
      <c r="T7" s="392"/>
      <c r="U7" s="519" t="s">
        <v>4</v>
      </c>
      <c r="V7" s="520"/>
      <c r="W7" s="521">
        <v>2389</v>
      </c>
      <c r="X7" s="522">
        <v>54.88</v>
      </c>
      <c r="Y7" s="381" t="s">
        <v>223</v>
      </c>
      <c r="Z7" s="357"/>
      <c r="AA7" s="394"/>
      <c r="AB7" s="395"/>
      <c r="AC7" s="41"/>
      <c r="AD7" s="41"/>
      <c r="AE7" s="41"/>
      <c r="AF7" s="357"/>
      <c r="AG7" s="41"/>
      <c r="AH7" s="41"/>
      <c r="AI7" s="41"/>
      <c r="AJ7" s="41"/>
      <c r="AK7" s="357"/>
      <c r="AL7" s="357"/>
    </row>
    <row r="8" spans="2:38" ht="15" customHeight="1" thickBot="1" x14ac:dyDescent="0.3">
      <c r="B8" s="803"/>
      <c r="C8" s="842"/>
      <c r="D8" s="843"/>
      <c r="E8" s="610"/>
      <c r="F8" s="842"/>
      <c r="G8" s="843"/>
      <c r="H8" s="611" t="b">
        <v>0</v>
      </c>
      <c r="J8" s="1"/>
      <c r="K8" s="101" t="s">
        <v>10</v>
      </c>
      <c r="L8" s="102">
        <f>D18*6</f>
        <v>0</v>
      </c>
      <c r="M8" s="103">
        <f>W18</f>
        <v>67.5</v>
      </c>
      <c r="N8" s="104">
        <f t="shared" ref="N8:N14" si="0">ROUND((L8*M8)/1000,5)</f>
        <v>0</v>
      </c>
      <c r="O8" s="11" t="str">
        <f>X18&amp;" lbs Max ("&amp;V18&amp;" gals)  "&amp;IF(OR(V18=V19,V19="",V19=0),"",X19&amp;" lbs Tabs ("&amp;V19&amp;" gals)")</f>
        <v>522 lbs Max (87 gals)  396 lbs Tabs (66 gals)</v>
      </c>
      <c r="R8" s="362"/>
      <c r="S8" s="601" t="str">
        <f t="shared" ref="S8:S38" si="1">"Ln"&amp;ROW()</f>
        <v>Ln8</v>
      </c>
      <c r="T8" s="83" t="str">
        <f ca="1">IF(L17&gt;W8,"ERR","OK")</f>
        <v>OK</v>
      </c>
      <c r="U8" s="377" t="s">
        <v>168</v>
      </c>
      <c r="V8" s="378"/>
      <c r="W8" s="84">
        <v>4000</v>
      </c>
      <c r="X8" s="392"/>
      <c r="Y8" s="393" t="s">
        <v>176</v>
      </c>
      <c r="Z8" s="357"/>
      <c r="AA8" s="396" t="s">
        <v>155</v>
      </c>
      <c r="AB8" s="395"/>
      <c r="AC8" s="41"/>
      <c r="AD8" s="41"/>
      <c r="AE8" s="41"/>
      <c r="AF8" s="357"/>
      <c r="AG8" s="41"/>
      <c r="AH8" s="41"/>
      <c r="AI8" s="41"/>
      <c r="AJ8" s="41"/>
      <c r="AK8" s="357"/>
      <c r="AL8" s="357"/>
    </row>
    <row r="9" spans="2:38" ht="15" customHeight="1" thickTop="1" x14ac:dyDescent="0.25">
      <c r="B9" s="803" t="s">
        <v>84</v>
      </c>
      <c r="C9" s="840"/>
      <c r="D9" s="841"/>
      <c r="E9" s="616">
        <f>IF(E10=TRUE,$X$32*-1,0)</f>
        <v>0</v>
      </c>
      <c r="F9" s="840"/>
      <c r="G9" s="841"/>
      <c r="H9" s="609">
        <f>IF(H10=TRUE,$X$32*-1,0)</f>
        <v>0</v>
      </c>
      <c r="J9" s="1"/>
      <c r="K9" s="101" t="s">
        <v>11</v>
      </c>
      <c r="L9" s="102">
        <f>C7+F7+H7</f>
        <v>0</v>
      </c>
      <c r="M9" s="103">
        <f>W26</f>
        <v>38</v>
      </c>
      <c r="N9" s="104">
        <f t="shared" si="0"/>
        <v>0</v>
      </c>
      <c r="O9" s="617" t="str">
        <f>IF(H8&lt;&gt;TRUE,"",W31&amp;" seat removed "&amp;",  row weight reduced by "&amp;H7*-1&amp;" lbs")</f>
        <v/>
      </c>
      <c r="R9" s="362"/>
      <c r="S9" s="601" t="str">
        <f t="shared" si="1"/>
        <v>Ln9</v>
      </c>
      <c r="T9" s="83" t="str">
        <f>IF(W8=W10,"OK",IF(L19&gt;W10,"WARN","OK"))</f>
        <v>OK</v>
      </c>
      <c r="U9" s="377" t="s">
        <v>169</v>
      </c>
      <c r="V9" s="378"/>
      <c r="W9" s="84">
        <v>4010</v>
      </c>
      <c r="X9" s="392"/>
      <c r="Y9" s="393" t="s">
        <v>176</v>
      </c>
      <c r="Z9" s="357"/>
      <c r="AA9" s="396" t="s">
        <v>50</v>
      </c>
      <c r="AB9" s="395"/>
      <c r="AC9" s="766" t="s">
        <v>1</v>
      </c>
      <c r="AD9" s="766"/>
      <c r="AE9" s="41"/>
      <c r="AF9" s="357"/>
      <c r="AG9" s="41"/>
      <c r="AH9" s="766" t="s">
        <v>154</v>
      </c>
      <c r="AI9" s="766"/>
      <c r="AJ9" s="41"/>
      <c r="AK9" s="357"/>
      <c r="AL9" s="357"/>
    </row>
    <row r="10" spans="2:38" ht="15" customHeight="1" thickBot="1" x14ac:dyDescent="0.3">
      <c r="B10" s="803"/>
      <c r="C10" s="842"/>
      <c r="D10" s="843"/>
      <c r="E10" s="611" t="b">
        <v>0</v>
      </c>
      <c r="F10" s="842"/>
      <c r="G10" s="843"/>
      <c r="H10" s="611" t="b">
        <v>0</v>
      </c>
      <c r="J10" s="1"/>
      <c r="K10" s="16" t="s">
        <v>18</v>
      </c>
      <c r="L10" s="102">
        <f>C9+F9+E9+H9</f>
        <v>0</v>
      </c>
      <c r="M10" s="103">
        <f>W27</f>
        <v>69.8</v>
      </c>
      <c r="N10" s="104">
        <f t="shared" si="0"/>
        <v>0</v>
      </c>
      <c r="O10" s="617" t="str">
        <f>IF(AND(E10&lt;&gt;TRUE,H10&lt;&gt;TRUE),"",W32&amp;" seat(s) removed "&amp;",  row weight reduced by "&amp;(E9+H9)*-1&amp;" lbs")</f>
        <v/>
      </c>
      <c r="R10" s="362"/>
      <c r="S10" s="601" t="str">
        <f t="shared" si="1"/>
        <v>Ln10</v>
      </c>
      <c r="T10" s="83" t="str">
        <f>IF(W8=W10,"OK",IF(L17&gt;W10,"WARN","OK"))</f>
        <v>OK</v>
      </c>
      <c r="U10" s="377" t="s">
        <v>170</v>
      </c>
      <c r="V10" s="378"/>
      <c r="W10" s="84">
        <v>4000</v>
      </c>
      <c r="X10" s="392"/>
      <c r="Y10" s="393" t="s">
        <v>176</v>
      </c>
      <c r="Z10" s="357"/>
      <c r="AA10" s="396" t="s">
        <v>56</v>
      </c>
      <c r="AB10" s="388">
        <v>2400</v>
      </c>
      <c r="AC10" s="766" t="s">
        <v>153</v>
      </c>
      <c r="AD10" s="766"/>
      <c r="AE10" s="41"/>
      <c r="AF10" s="357"/>
      <c r="AG10" s="623">
        <f>AG14</f>
        <v>48</v>
      </c>
      <c r="AH10" s="766" t="s">
        <v>153</v>
      </c>
      <c r="AI10" s="766"/>
      <c r="AJ10" s="41"/>
      <c r="AK10" s="357"/>
      <c r="AL10" s="357"/>
    </row>
    <row r="11" spans="2:38" ht="15" customHeight="1" thickTop="1" x14ac:dyDescent="0.25">
      <c r="B11" s="844" t="s">
        <v>85</v>
      </c>
      <c r="C11" s="840"/>
      <c r="D11" s="841"/>
      <c r="E11" s="609">
        <f>IF(E12=TRUE,$X$33*-1,0)</f>
        <v>0</v>
      </c>
      <c r="F11" s="840"/>
      <c r="G11" s="841"/>
      <c r="H11" s="609">
        <f>IF(H12=TRUE,$X$33*-1,0)</f>
        <v>0</v>
      </c>
      <c r="J11" s="1"/>
      <c r="K11" s="101" t="s">
        <v>19</v>
      </c>
      <c r="L11" s="102">
        <f>C11+F11+E11+H11</f>
        <v>0</v>
      </c>
      <c r="M11" s="103">
        <f>W28</f>
        <v>99.3</v>
      </c>
      <c r="N11" s="104">
        <f t="shared" si="0"/>
        <v>0</v>
      </c>
      <c r="O11" s="617" t="str">
        <f>IF(AND(E12&lt;&gt;TRUE,H12&lt;&gt;TRUE),"",W33&amp;" seat(s) removed "&amp;",  row weight reduced by "&amp;(E11+H11)*-1&amp;" lbs")</f>
        <v/>
      </c>
      <c r="R11" s="362"/>
      <c r="S11" s="601" t="str">
        <f t="shared" si="1"/>
        <v>Ln11</v>
      </c>
      <c r="T11" s="384" t="str">
        <f>IF(W8=W10,"OK",IF(L20&gt;W11,"WARN","OK"))</f>
        <v>OK</v>
      </c>
      <c r="U11" s="397" t="s">
        <v>184</v>
      </c>
      <c r="V11" s="398"/>
      <c r="W11" s="89">
        <f>W10</f>
        <v>4000</v>
      </c>
      <c r="X11" s="357"/>
      <c r="Y11" s="357"/>
      <c r="Z11" s="357"/>
      <c r="AA11" s="396" t="s">
        <v>57</v>
      </c>
      <c r="AB11" s="395"/>
      <c r="AC11" s="41"/>
      <c r="AD11" s="41"/>
      <c r="AE11" s="767" t="s">
        <v>157</v>
      </c>
      <c r="AF11" s="357"/>
      <c r="AG11" s="41"/>
      <c r="AH11" s="41"/>
      <c r="AI11" s="41"/>
      <c r="AJ11" s="767" t="s">
        <v>167</v>
      </c>
      <c r="AK11" s="357"/>
      <c r="AL11" s="357"/>
    </row>
    <row r="12" spans="2:38" ht="15" customHeight="1" thickBot="1" x14ac:dyDescent="0.3">
      <c r="B12" s="844"/>
      <c r="C12" s="842"/>
      <c r="D12" s="843"/>
      <c r="E12" s="611" t="b">
        <v>0</v>
      </c>
      <c r="F12" s="842"/>
      <c r="G12" s="843"/>
      <c r="H12" s="611" t="b">
        <v>0</v>
      </c>
      <c r="J12" s="1"/>
      <c r="K12" s="101" t="s">
        <v>20</v>
      </c>
      <c r="L12" s="102">
        <f>C13+F13+E13+H13</f>
        <v>0</v>
      </c>
      <c r="M12" s="103">
        <f>W29</f>
        <v>127.8</v>
      </c>
      <c r="N12" s="104">
        <f t="shared" si="0"/>
        <v>0</v>
      </c>
      <c r="O12" s="617" t="str">
        <f>IF(AND(E14&lt;&gt;TRUE,H14&lt;&gt;TRUE),"",W34&amp;" seat(s) removed "&amp;",  row weight reduced by "&amp;(E13+H13)*-1&amp;" lbs")</f>
        <v/>
      </c>
      <c r="R12" s="362"/>
      <c r="S12" s="601" t="str">
        <f t="shared" si="1"/>
        <v>Ln12</v>
      </c>
      <c r="T12" s="391"/>
      <c r="U12" s="400" t="s">
        <v>7</v>
      </c>
      <c r="V12" s="391"/>
      <c r="W12" s="391"/>
      <c r="X12" s="392"/>
      <c r="Y12" s="393" t="s">
        <v>176</v>
      </c>
      <c r="Z12" s="357"/>
      <c r="AA12" s="396" t="s">
        <v>156</v>
      </c>
      <c r="AB12" s="395"/>
      <c r="AC12" s="41"/>
      <c r="AD12" s="41"/>
      <c r="AE12" s="767"/>
      <c r="AF12" s="357"/>
      <c r="AG12" s="41"/>
      <c r="AH12" s="41"/>
      <c r="AI12" s="41"/>
      <c r="AJ12" s="767"/>
      <c r="AK12" s="357"/>
      <c r="AL12" s="357"/>
    </row>
    <row r="13" spans="2:38" ht="15" customHeight="1" thickTop="1" x14ac:dyDescent="0.25">
      <c r="B13" s="803" t="s">
        <v>86</v>
      </c>
      <c r="C13" s="840"/>
      <c r="D13" s="841"/>
      <c r="E13" s="609">
        <f>IF(E14=TRUE,$X$34*-1,0)</f>
        <v>0</v>
      </c>
      <c r="F13" s="840"/>
      <c r="G13" s="841"/>
      <c r="H13" s="609">
        <f>IF(H14=TRUE,$X$34*-1,0)</f>
        <v>0</v>
      </c>
      <c r="J13" s="1"/>
      <c r="K13" s="101" t="s">
        <v>21</v>
      </c>
      <c r="L13" s="102">
        <f>C15</f>
        <v>0</v>
      </c>
      <c r="M13" s="103">
        <f>W36</f>
        <v>148.30000000000001</v>
      </c>
      <c r="N13" s="104">
        <f t="shared" si="0"/>
        <v>0</v>
      </c>
      <c r="O13" s="11" t="str">
        <f>X36&amp;" lbs max "&amp;IF(X38=0,"","( "&amp;X38&amp;" max Baggage 1+2 )")</f>
        <v xml:space="preserve">250 lbs max </v>
      </c>
      <c r="R13" s="362"/>
      <c r="S13" s="601" t="str">
        <f t="shared" si="1"/>
        <v>Ln13</v>
      </c>
      <c r="T13" s="391"/>
      <c r="U13" s="400" t="s">
        <v>8</v>
      </c>
      <c r="V13" s="391"/>
      <c r="W13" s="391"/>
      <c r="X13" s="392"/>
      <c r="Y13" s="393" t="s">
        <v>176</v>
      </c>
      <c r="Z13" s="357"/>
      <c r="AA13" s="396" t="s">
        <v>47</v>
      </c>
      <c r="AB13" s="388">
        <v>2100</v>
      </c>
      <c r="AC13" s="41"/>
      <c r="AD13" s="41"/>
      <c r="AE13" s="792"/>
      <c r="AF13" s="357"/>
      <c r="AG13" s="41"/>
      <c r="AH13" s="41"/>
      <c r="AI13" s="41"/>
      <c r="AJ13" s="792"/>
      <c r="AK13" s="357"/>
      <c r="AL13" s="357"/>
    </row>
    <row r="14" spans="2:38" ht="15" customHeight="1" thickBot="1" x14ac:dyDescent="0.25">
      <c r="B14" s="803"/>
      <c r="C14" s="842"/>
      <c r="D14" s="843"/>
      <c r="E14" s="611" t="b">
        <v>0</v>
      </c>
      <c r="F14" s="842"/>
      <c r="G14" s="843"/>
      <c r="H14" s="611" t="b">
        <v>0</v>
      </c>
      <c r="J14" s="1"/>
      <c r="K14" s="16" t="s">
        <v>22</v>
      </c>
      <c r="L14" s="102">
        <f>C16</f>
        <v>0</v>
      </c>
      <c r="M14" s="103">
        <f>W37</f>
        <v>182</v>
      </c>
      <c r="N14" s="104">
        <f t="shared" si="0"/>
        <v>0</v>
      </c>
      <c r="O14" s="11" t="str">
        <f>X37&amp;" lbs max "</f>
        <v xml:space="preserve">50 lbs max </v>
      </c>
      <c r="R14" s="362"/>
      <c r="S14" s="601" t="str">
        <f t="shared" si="1"/>
        <v>Ln14</v>
      </c>
      <c r="T14" s="391"/>
      <c r="U14" s="400" t="s">
        <v>24</v>
      </c>
      <c r="V14" s="391"/>
      <c r="W14" s="391"/>
      <c r="X14" s="392"/>
      <c r="Y14" s="393" t="s">
        <v>177</v>
      </c>
      <c r="Z14" s="357"/>
      <c r="AA14" s="402"/>
      <c r="AB14" s="395"/>
      <c r="AC14" s="41"/>
      <c r="AD14" s="41"/>
      <c r="AE14" s="403">
        <f>AE6</f>
        <v>4000</v>
      </c>
      <c r="AF14" s="357"/>
      <c r="AG14" s="404">
        <v>48</v>
      </c>
      <c r="AH14" s="82"/>
      <c r="AI14" s="82"/>
      <c r="AJ14" s="405">
        <f>AJ6</f>
        <v>64</v>
      </c>
      <c r="AK14" s="357"/>
      <c r="AL14" s="357"/>
    </row>
    <row r="15" spans="2:38" ht="15" customHeight="1" thickTop="1" thickBot="1" x14ac:dyDescent="0.3">
      <c r="B15" s="31" t="s">
        <v>38</v>
      </c>
      <c r="C15" s="827"/>
      <c r="D15" s="828"/>
      <c r="E15" s="828"/>
      <c r="F15" s="828"/>
      <c r="G15" s="829"/>
      <c r="J15" s="1"/>
      <c r="K15" s="15" t="s">
        <v>6</v>
      </c>
      <c r="L15" s="105">
        <f>SUM(L7:L14)</f>
        <v>2389</v>
      </c>
      <c r="M15" s="103"/>
      <c r="N15" s="106">
        <f>SUM(N7:N14)</f>
        <v>131.10831999999999</v>
      </c>
      <c r="O15" s="11" t="str">
        <f>"Max Takeoff Weight: "&amp;TEXT(W8,"#,###")&amp;IF(W8&lt;&gt;W10," - Landing "&amp;TEXT(W10,"#,###"),"")</f>
        <v>Max Takeoff Weight: 4,000</v>
      </c>
      <c r="R15" s="362"/>
      <c r="S15" s="601" t="str">
        <f t="shared" si="1"/>
        <v>Ln15</v>
      </c>
      <c r="T15" s="391"/>
      <c r="U15" s="400" t="s">
        <v>8</v>
      </c>
      <c r="V15" s="391"/>
      <c r="W15" s="391"/>
      <c r="X15" s="392"/>
      <c r="Y15" s="393" t="s">
        <v>177</v>
      </c>
      <c r="Z15" s="357"/>
      <c r="AA15" s="407"/>
      <c r="AB15" s="408"/>
      <c r="AC15" s="41"/>
      <c r="AD15" s="41"/>
      <c r="AE15" s="41"/>
      <c r="AF15" s="357"/>
      <c r="AG15" s="409"/>
      <c r="AH15" s="797" t="s">
        <v>161</v>
      </c>
      <c r="AI15" s="797"/>
      <c r="AJ15" s="410"/>
      <c r="AK15" s="357"/>
      <c r="AL15" s="357"/>
    </row>
    <row r="16" spans="2:38" ht="15" customHeight="1" thickTop="1" thickBot="1" x14ac:dyDescent="0.25">
      <c r="B16" s="31" t="s">
        <v>39</v>
      </c>
      <c r="C16" s="827"/>
      <c r="D16" s="828"/>
      <c r="E16" s="828"/>
      <c r="F16" s="828"/>
      <c r="G16" s="829"/>
      <c r="J16" s="1"/>
      <c r="K16" s="16" t="s">
        <v>15</v>
      </c>
      <c r="L16" s="105">
        <f>X21</f>
        <v>-10</v>
      </c>
      <c r="M16" s="103">
        <f>W18</f>
        <v>67.5</v>
      </c>
      <c r="N16" s="104">
        <f>ROUND((L16*M16)/1000,5)</f>
        <v>-0.67500000000000004</v>
      </c>
      <c r="O16" s="11" t="s">
        <v>16</v>
      </c>
      <c r="R16" s="362"/>
      <c r="S16" s="401"/>
      <c r="T16" s="401"/>
      <c r="U16" s="401"/>
      <c r="V16" s="401"/>
      <c r="W16" s="401"/>
      <c r="X16" s="401"/>
      <c r="Y16" s="401"/>
      <c r="Z16" s="357"/>
      <c r="AA16" s="357"/>
      <c r="AB16" s="357"/>
      <c r="AC16" s="357"/>
      <c r="AD16" s="357"/>
      <c r="AE16" s="357"/>
      <c r="AF16" s="357"/>
      <c r="AG16" s="357"/>
      <c r="AH16" s="357"/>
      <c r="AI16" s="357"/>
      <c r="AJ16" s="357"/>
      <c r="AK16" s="357"/>
      <c r="AL16" s="357"/>
    </row>
    <row r="17" spans="2:38" ht="15" customHeight="1" thickTop="1" thickBot="1" x14ac:dyDescent="0.35">
      <c r="B17" s="3"/>
      <c r="C17" s="1"/>
      <c r="G17" s="40" t="str">
        <f>IF(T20="err","","(Std Fueling "&amp;V19&amp;" gal ("&amp;V20&amp;"))")</f>
        <v>(Std Fueling 66 gal (Measured))</v>
      </c>
      <c r="H17" s="40"/>
      <c r="J17" s="1"/>
      <c r="K17" s="15" t="s">
        <v>7</v>
      </c>
      <c r="L17" s="107">
        <f ca="1">IF(expired=TRUE,9999,SUM(L15:L16))</f>
        <v>2379</v>
      </c>
      <c r="M17" s="108"/>
      <c r="N17" s="109">
        <f>SUM(N15:N16)</f>
        <v>130.43331999999998</v>
      </c>
      <c r="O17" s="110" t="str">
        <f>"Max Gross: "&amp;TEXT(W8,"#,##0")&amp;"   Useful Load: "&amp;TEXT(W42,"#,##0")</f>
        <v>Max Gross: 4,000   Useful Load: 1,611</v>
      </c>
      <c r="R17" s="362"/>
      <c r="S17" s="370" t="s">
        <v>158</v>
      </c>
      <c r="T17" s="371"/>
      <c r="U17" s="371"/>
      <c r="V17" s="406" t="s">
        <v>174</v>
      </c>
      <c r="W17" s="372" t="s">
        <v>2</v>
      </c>
      <c r="X17" s="372" t="s">
        <v>1</v>
      </c>
      <c r="Y17" s="373" t="s">
        <v>179</v>
      </c>
      <c r="Z17" s="357"/>
      <c r="AA17" s="237"/>
      <c r="AB17" s="237"/>
      <c r="AC17" s="291" t="str">
        <f ca="1">IF(AC18&gt;W8,"OUT","OK")</f>
        <v>OK</v>
      </c>
      <c r="AD17" s="250"/>
      <c r="AE17" s="237"/>
      <c r="AF17" s="237"/>
      <c r="AG17" s="291" t="str">
        <f ca="1">IF(AND(AG18&gt;=AI18,AG18&lt;=AJ18),"OK","OUT")</f>
        <v>OK</v>
      </c>
      <c r="AH17" s="237"/>
      <c r="AI17" s="237"/>
      <c r="AJ17" s="237"/>
      <c r="AK17" s="357"/>
      <c r="AL17" s="357"/>
    </row>
    <row r="18" spans="2:38" ht="15" customHeight="1" thickTop="1" thickBot="1" x14ac:dyDescent="0.25">
      <c r="B18" s="32" t="s">
        <v>88</v>
      </c>
      <c r="C18" s="4"/>
      <c r="D18" s="830"/>
      <c r="E18" s="830"/>
      <c r="F18" s="5" t="s">
        <v>36</v>
      </c>
      <c r="H18" s="5"/>
      <c r="J18" s="1"/>
      <c r="K18" s="18" t="s">
        <v>8</v>
      </c>
      <c r="L18" s="111"/>
      <c r="M18" s="112">
        <f ca="1">IF(expired=TRUE,9999,(N17*1000)/L17)</f>
        <v>54.826952501050854</v>
      </c>
      <c r="N18" s="113"/>
      <c r="O18" s="12" t="s">
        <v>9</v>
      </c>
      <c r="R18" s="362"/>
      <c r="S18" s="601" t="str">
        <f t="shared" si="1"/>
        <v>Ln18</v>
      </c>
      <c r="T18" s="83" t="str">
        <f>IF(D18&gt;V18,"ERR","OK")</f>
        <v>OK</v>
      </c>
      <c r="U18" s="548" t="s">
        <v>239</v>
      </c>
      <c r="V18" s="411">
        <v>87</v>
      </c>
      <c r="W18" s="380">
        <v>67.5</v>
      </c>
      <c r="X18" s="412">
        <f>V18*6</f>
        <v>522</v>
      </c>
      <c r="Y18" s="393" t="s">
        <v>176</v>
      </c>
      <c r="Z18" s="357"/>
      <c r="AA18" s="270" t="s">
        <v>47</v>
      </c>
      <c r="AB18" s="288" t="s">
        <v>1</v>
      </c>
      <c r="AC18" s="316">
        <f ca="1">L17</f>
        <v>2379</v>
      </c>
      <c r="AD18" s="236"/>
      <c r="AE18" s="292"/>
      <c r="AF18" s="288" t="s">
        <v>40</v>
      </c>
      <c r="AG18" s="317">
        <f ca="1">M18</f>
        <v>54.826952501050854</v>
      </c>
      <c r="AH18" s="287" t="s">
        <v>61</v>
      </c>
      <c r="AI18" s="318">
        <f ca="1">VLOOKUP(AC18,AB21:AJ24,8,TRUE)</f>
        <v>48</v>
      </c>
      <c r="AJ18" s="319">
        <f ca="1">VLOOKUP(AC18,AB21:AJ24,9,TRUE)</f>
        <v>64</v>
      </c>
      <c r="AK18" s="357"/>
      <c r="AL18" s="357"/>
    </row>
    <row r="19" spans="2:38" ht="15" customHeight="1" thickTop="1" thickBot="1" x14ac:dyDescent="0.25">
      <c r="B19" s="32" t="s">
        <v>35</v>
      </c>
      <c r="C19" s="2"/>
      <c r="D19" s="831"/>
      <c r="E19" s="832"/>
      <c r="F19" s="5" t="s">
        <v>108</v>
      </c>
      <c r="H19" s="5"/>
      <c r="J19" s="1"/>
      <c r="K19" s="114" t="s">
        <v>23</v>
      </c>
      <c r="L19" s="115">
        <f>D21*6*-1</f>
        <v>0</v>
      </c>
      <c r="M19" s="116">
        <f>W18</f>
        <v>67.5</v>
      </c>
      <c r="N19" s="117">
        <f>ROUND((L19*M19)/1000,5)</f>
        <v>0</v>
      </c>
      <c r="O19" s="29" t="s">
        <v>73</v>
      </c>
      <c r="R19" s="362"/>
      <c r="S19" s="601" t="str">
        <f t="shared" si="1"/>
        <v>Ln19</v>
      </c>
      <c r="T19" s="391"/>
      <c r="U19" s="549" t="s">
        <v>240</v>
      </c>
      <c r="V19" s="411">
        <v>66</v>
      </c>
      <c r="W19" s="392"/>
      <c r="X19" s="412">
        <f>V19*6</f>
        <v>396</v>
      </c>
      <c r="Y19" s="357"/>
      <c r="Z19" s="357"/>
      <c r="AA19" s="271" t="s">
        <v>48</v>
      </c>
      <c r="AB19" s="273"/>
      <c r="AC19" s="274" t="s">
        <v>67</v>
      </c>
      <c r="AD19" s="275"/>
      <c r="AE19" s="293"/>
      <c r="AF19" s="273"/>
      <c r="AG19" s="276" t="s">
        <v>66</v>
      </c>
      <c r="AH19" s="273"/>
      <c r="AI19" s="277" t="s">
        <v>46</v>
      </c>
      <c r="AJ19" s="278" t="s">
        <v>46</v>
      </c>
      <c r="AK19" s="357"/>
      <c r="AL19" s="357"/>
    </row>
    <row r="20" spans="2:38" ht="15" customHeight="1" thickTop="1" thickBot="1" x14ac:dyDescent="0.25">
      <c r="B20" s="58" t="s">
        <v>107</v>
      </c>
      <c r="C20" s="2"/>
      <c r="D20" s="833"/>
      <c r="E20" s="833"/>
      <c r="F20" s="5" t="s">
        <v>109</v>
      </c>
      <c r="H20" s="5"/>
      <c r="J20" s="1"/>
      <c r="K20" s="118" t="s">
        <v>24</v>
      </c>
      <c r="L20" s="119">
        <f ca="1">SUM(L17:L19)</f>
        <v>2379</v>
      </c>
      <c r="M20" s="108"/>
      <c r="N20" s="120">
        <f>SUM(N17:N19)</f>
        <v>130.43331999999998</v>
      </c>
      <c r="O20" s="29" t="str">
        <f>IF(W8=W10,"Landing Weight Limit same as Takeoff Weight","Max Landing Weight  "&amp;TEXT(W10,"#,##0"))</f>
        <v>Landing Weight Limit same as Takeoff Weight</v>
      </c>
      <c r="R20" s="362"/>
      <c r="S20" s="601" t="str">
        <f t="shared" si="1"/>
        <v>Ln20</v>
      </c>
      <c r="T20" s="83" t="str">
        <f>IF(AND(V18=V19,LEFT(V20,1)="F"),"OK",IF(AND(V18&lt;&gt;V19,LEFT(V20,1)&lt;&gt;"F"),"OK","ERR"))</f>
        <v>OK</v>
      </c>
      <c r="U20" s="547" t="s">
        <v>188</v>
      </c>
      <c r="V20" s="546" t="s">
        <v>186</v>
      </c>
      <c r="W20" s="397" t="s">
        <v>190</v>
      </c>
      <c r="X20" s="412"/>
      <c r="Y20" s="392"/>
      <c r="Z20" s="357"/>
      <c r="AA20" s="271" t="s">
        <v>49</v>
      </c>
      <c r="AB20" s="279" t="s">
        <v>41</v>
      </c>
      <c r="AC20" s="279" t="s">
        <v>42</v>
      </c>
      <c r="AD20" s="280" t="s">
        <v>43</v>
      </c>
      <c r="AE20" s="281" t="s">
        <v>41</v>
      </c>
      <c r="AF20" s="282" t="s">
        <v>42</v>
      </c>
      <c r="AG20" s="283" t="s">
        <v>44</v>
      </c>
      <c r="AH20" s="284" t="s">
        <v>45</v>
      </c>
      <c r="AI20" s="285" t="s">
        <v>68</v>
      </c>
      <c r="AJ20" s="286" t="s">
        <v>69</v>
      </c>
      <c r="AK20" s="357"/>
      <c r="AL20" s="357"/>
    </row>
    <row r="21" spans="2:38" ht="15" customHeight="1" thickTop="1" thickBot="1" x14ac:dyDescent="0.25">
      <c r="B21" s="32" t="s">
        <v>34</v>
      </c>
      <c r="D21" s="834">
        <f>D19*D20</f>
        <v>0</v>
      </c>
      <c r="E21" s="835"/>
      <c r="F21" s="5" t="s">
        <v>36</v>
      </c>
      <c r="H21" s="5"/>
      <c r="J21" s="1"/>
      <c r="K21" s="121" t="s">
        <v>8</v>
      </c>
      <c r="L21" s="122"/>
      <c r="M21" s="123">
        <f ca="1">(N20*1000)/L20</f>
        <v>54.826952501050854</v>
      </c>
      <c r="N21" s="124"/>
      <c r="O21" s="30" t="s">
        <v>65</v>
      </c>
      <c r="R21" s="362"/>
      <c r="S21" s="601" t="str">
        <f t="shared" si="1"/>
        <v>Ln21</v>
      </c>
      <c r="T21" s="391"/>
      <c r="U21" s="548" t="s">
        <v>191</v>
      </c>
      <c r="V21" s="411">
        <v>1.7</v>
      </c>
      <c r="W21" s="392"/>
      <c r="X21" s="412">
        <f>ROUND(V21*6,0)*-1</f>
        <v>-10</v>
      </c>
      <c r="Y21" s="357"/>
      <c r="Z21" s="357"/>
      <c r="AA21" s="271" t="s">
        <v>50</v>
      </c>
      <c r="AB21" s="218">
        <v>2100</v>
      </c>
      <c r="AC21" s="219">
        <v>2400</v>
      </c>
      <c r="AD21" s="528">
        <f>+AC21-AB21</f>
        <v>300</v>
      </c>
      <c r="AE21" s="222">
        <v>48</v>
      </c>
      <c r="AF21" s="223">
        <v>48</v>
      </c>
      <c r="AG21" s="533">
        <f>AF21-AE21</f>
        <v>0</v>
      </c>
      <c r="AH21" s="534">
        <f>IF(OR(AD21=0,AG21=0),0,ROUND(AG21/AD21,5))</f>
        <v>0</v>
      </c>
      <c r="AI21" s="535">
        <f ca="1">IF(AND(AC18&gt;=AB21,AC18&lt;AC21),AE21+((AC18-AB21)*AH21),AE21)</f>
        <v>48</v>
      </c>
      <c r="AJ21" s="536">
        <f>AF24</f>
        <v>64</v>
      </c>
      <c r="AK21" s="357"/>
      <c r="AL21" s="357"/>
    </row>
    <row r="22" spans="2:38" ht="14.25" thickTop="1" thickBot="1" x14ac:dyDescent="0.25">
      <c r="B22" s="33" t="str">
        <f>IF(T58="OK","Reserve/End of FLT","&lt;1Hr Res/End of FLT")</f>
        <v>Reserve/End of FLT</v>
      </c>
      <c r="D22" s="59" t="str">
        <f>IF(T56&lt;&gt;"OK","Fuel used &gt; loaded",IF(AND(T57="OK",T56="OK"),""&amp;TEXT(D18-D21,"##.0")&amp;" Gal  ~"&amp;TEXT(V48,"##.0")&amp;" HRS",""))</f>
        <v/>
      </c>
      <c r="E22" s="59"/>
      <c r="F22" s="2"/>
      <c r="R22" s="358"/>
      <c r="S22" s="601" t="str">
        <f t="shared" si="1"/>
        <v>Ln22</v>
      </c>
      <c r="T22" s="391"/>
      <c r="U22" s="550" t="s">
        <v>15</v>
      </c>
      <c r="V22" s="391"/>
      <c r="W22" s="392"/>
      <c r="X22" s="391"/>
      <c r="Y22" s="393" t="s">
        <v>177</v>
      </c>
      <c r="Z22" s="357"/>
      <c r="AA22" s="271" t="s">
        <v>51</v>
      </c>
      <c r="AB22" s="526">
        <f>AC21</f>
        <v>2400</v>
      </c>
      <c r="AC22" s="220">
        <v>4000</v>
      </c>
      <c r="AD22" s="529">
        <f>+AC22-AB22</f>
        <v>1600</v>
      </c>
      <c r="AE22" s="531">
        <f>IF(AF22=AF21,AE21,AF21)</f>
        <v>48</v>
      </c>
      <c r="AF22" s="224">
        <v>56</v>
      </c>
      <c r="AG22" s="533">
        <f>AF22-AE22</f>
        <v>8</v>
      </c>
      <c r="AH22" s="534">
        <f>IF(OR(AD22=0,AG22=0),0,ROUND(AG22/AD22,5))</f>
        <v>5.0000000000000001E-3</v>
      </c>
      <c r="AI22" s="535">
        <f ca="1">IF(AND(AC18&gt;=AB22,AC18&lt;AC22),AE22+((AC18-AB22)*AH22),AE22)</f>
        <v>48</v>
      </c>
      <c r="AJ22" s="537">
        <f>AJ21</f>
        <v>64</v>
      </c>
      <c r="AK22" s="357"/>
      <c r="AL22" s="357"/>
    </row>
    <row r="23" spans="2:38" ht="13.5" thickTop="1" x14ac:dyDescent="0.2">
      <c r="B23" s="770" t="str">
        <f>IF(T9&lt;&gt;"OK","Caution - Landing Weight",IF(T10&lt;&gt;"OK","Watch Early Landing Weight",""))</f>
        <v/>
      </c>
      <c r="C23" s="772" t="str">
        <f ca="1">IF(OR(AC17="out",AG17="out"),"CAUTION:   Wt or CG Out of Limits","")</f>
        <v/>
      </c>
      <c r="D23" s="772"/>
      <c r="E23" s="772"/>
      <c r="F23" s="772"/>
      <c r="G23" s="773"/>
      <c r="H23" s="605"/>
      <c r="K23" s="10" t="s">
        <v>64</v>
      </c>
      <c r="R23" s="358"/>
      <c r="S23" s="601" t="str">
        <f t="shared" si="1"/>
        <v>Ln23</v>
      </c>
      <c r="T23" s="391"/>
      <c r="U23" s="550" t="s">
        <v>23</v>
      </c>
      <c r="V23" s="391"/>
      <c r="W23" s="392"/>
      <c r="X23" s="391"/>
      <c r="Y23" s="393" t="s">
        <v>177</v>
      </c>
      <c r="Z23" s="357"/>
      <c r="AA23" s="271" t="s">
        <v>52</v>
      </c>
      <c r="AB23" s="526">
        <f>AC22</f>
        <v>4000</v>
      </c>
      <c r="AC23" s="220">
        <v>4000</v>
      </c>
      <c r="AD23" s="529">
        <f>+AC23-AB23</f>
        <v>0</v>
      </c>
      <c r="AE23" s="531">
        <f>IF(AF23=AF22,AE22,AF22)</f>
        <v>56</v>
      </c>
      <c r="AF23" s="224">
        <v>64</v>
      </c>
      <c r="AG23" s="533">
        <f>AF23-AE23</f>
        <v>8</v>
      </c>
      <c r="AH23" s="534">
        <f>IF(OR(AD23=0,AG23=0),0,ROUND(AG23/AD23,5))</f>
        <v>0</v>
      </c>
      <c r="AI23" s="535">
        <f ca="1">IF(AND(AC18&gt;=AB23,AC18&lt;AC23),AE23+((AC18-AB23)*AH23),AE23)</f>
        <v>56</v>
      </c>
      <c r="AJ23" s="537">
        <f>AJ22</f>
        <v>64</v>
      </c>
      <c r="AK23" s="357"/>
      <c r="AL23" s="357"/>
    </row>
    <row r="24" spans="2:38" ht="15" customHeight="1" x14ac:dyDescent="0.2">
      <c r="B24" s="771"/>
      <c r="C24" s="774"/>
      <c r="D24" s="774"/>
      <c r="E24" s="774"/>
      <c r="F24" s="774"/>
      <c r="G24" s="775"/>
      <c r="H24" s="605"/>
      <c r="K24" s="9" t="s">
        <v>62</v>
      </c>
      <c r="R24" s="358"/>
      <c r="S24" s="401"/>
      <c r="T24" s="401"/>
      <c r="U24" s="401"/>
      <c r="V24" s="401"/>
      <c r="W24" s="401"/>
      <c r="X24" s="401"/>
      <c r="Y24" s="401"/>
      <c r="Z24" s="357"/>
      <c r="AA24" s="272" t="s">
        <v>52</v>
      </c>
      <c r="AB24" s="527">
        <f>AC23</f>
        <v>4000</v>
      </c>
      <c r="AC24" s="221">
        <v>4000</v>
      </c>
      <c r="AD24" s="530">
        <f>+AC24-AB24</f>
        <v>0</v>
      </c>
      <c r="AE24" s="532">
        <f>IF(AF24=AF23,AE23,AF23)</f>
        <v>56</v>
      </c>
      <c r="AF24" s="225">
        <v>64</v>
      </c>
      <c r="AG24" s="538">
        <f>AF24-AE24</f>
        <v>8</v>
      </c>
      <c r="AH24" s="539">
        <f>IF(OR(AD24=0,AG24=0),0,ROUND(AG24/AD24,5))</f>
        <v>0</v>
      </c>
      <c r="AI24" s="540">
        <f ca="1">IF(AND(AC18&gt;=AB24,AC18&lt;AC24),AE24+((AC18-AB24)*AH24),AE24)</f>
        <v>56</v>
      </c>
      <c r="AJ24" s="541">
        <f>AJ23</f>
        <v>64</v>
      </c>
      <c r="AK24" s="357"/>
      <c r="AL24" s="357"/>
    </row>
    <row r="25" spans="2:38" ht="15" customHeight="1" x14ac:dyDescent="0.2">
      <c r="B25" s="34" t="str">
        <f>IF(AND(T57&lt;&gt;"OK",T53&lt;&gt;"OK"),"Enter Fuel on Board","")</f>
        <v/>
      </c>
      <c r="C25" s="776" t="str">
        <f>IF(T58&lt;&gt;"OK","Fuel &lt;1-HR Reserve","")</f>
        <v/>
      </c>
      <c r="D25" s="776"/>
      <c r="E25" s="776"/>
      <c r="F25" s="776"/>
      <c r="G25" s="777"/>
      <c r="H25" s="606"/>
      <c r="K25" s="20" t="str">
        <f>"Pilot -      "&amp;C7&amp;"#"</f>
        <v>Pilot -      #</v>
      </c>
      <c r="R25" s="358"/>
      <c r="S25" s="370" t="s">
        <v>159</v>
      </c>
      <c r="T25" s="371"/>
      <c r="U25" s="371"/>
      <c r="V25" s="371"/>
      <c r="W25" s="372" t="s">
        <v>2</v>
      </c>
      <c r="X25" s="372" t="s">
        <v>1</v>
      </c>
      <c r="Y25" s="373" t="s">
        <v>179</v>
      </c>
      <c r="Z25" s="357"/>
      <c r="AA25" s="357"/>
      <c r="AB25" s="357"/>
      <c r="AC25" s="357"/>
      <c r="AD25" s="357"/>
      <c r="AE25" s="357"/>
      <c r="AF25" s="357"/>
      <c r="AG25" s="357"/>
      <c r="AH25" s="357"/>
      <c r="AI25" s="357"/>
      <c r="AJ25" s="357"/>
      <c r="AK25" s="357"/>
      <c r="AL25" s="357"/>
    </row>
    <row r="26" spans="2:38" ht="15" customHeight="1" x14ac:dyDescent="0.2">
      <c r="B26" s="77" t="str">
        <f>IF(AND(T57&lt;&gt;"OK",T54&lt;&gt;"OK"),"Enter GPH Usage","")</f>
        <v/>
      </c>
      <c r="C26" s="836" t="str">
        <f>IF(OR(T18&lt;&gt;"OK",T56&lt;&gt;"OK"),"Fuel Usage Error","")</f>
        <v/>
      </c>
      <c r="D26" s="836"/>
      <c r="E26" s="836"/>
      <c r="F26" s="836"/>
      <c r="G26" s="837"/>
      <c r="H26" s="607"/>
      <c r="K26" s="20" t="str">
        <f>"R Front -   "&amp;IF(F7=0,"  ---",F7&amp;"#")</f>
        <v>R Front -     ---</v>
      </c>
      <c r="R26" s="358"/>
      <c r="S26" s="601" t="str">
        <f t="shared" si="1"/>
        <v>Ln26</v>
      </c>
      <c r="T26" s="391"/>
      <c r="U26" s="470" t="s">
        <v>32</v>
      </c>
      <c r="V26" s="378"/>
      <c r="W26" s="603">
        <v>38</v>
      </c>
      <c r="X26" s="391"/>
      <c r="Y26" s="393" t="s">
        <v>176</v>
      </c>
      <c r="Z26" s="357"/>
      <c r="AA26" s="357"/>
      <c r="AB26" s="357"/>
      <c r="AC26" s="357"/>
      <c r="AD26" s="357"/>
      <c r="AE26" s="357"/>
      <c r="AF26" s="357"/>
      <c r="AG26" s="357"/>
      <c r="AH26" s="357"/>
      <c r="AI26" s="357"/>
      <c r="AJ26" s="357"/>
      <c r="AK26" s="357"/>
      <c r="AL26" s="357"/>
    </row>
    <row r="27" spans="2:38" ht="15" customHeight="1" thickBot="1" x14ac:dyDescent="0.25">
      <c r="B27" s="78" t="str">
        <f>IF(AND(T57&lt;&gt;"OK",T55&lt;&gt;"OK"),"Enter FLIGHT TIME","")</f>
        <v/>
      </c>
      <c r="C27" s="780" t="str">
        <f>IF(T51&lt;&gt;"OK","Load PILOT SEAT","")</f>
        <v/>
      </c>
      <c r="D27" s="780"/>
      <c r="E27" s="780"/>
      <c r="F27" s="780"/>
      <c r="G27" s="781"/>
      <c r="H27" s="608"/>
      <c r="K27" s="20" t="str">
        <f>"L  Row 2 -   "&amp;IF(C9=0,"  ---",C9&amp;"#")</f>
        <v>L  Row 2 -     ---</v>
      </c>
      <c r="R27" s="358"/>
      <c r="S27" s="601" t="str">
        <f t="shared" si="1"/>
        <v>Ln27</v>
      </c>
      <c r="T27" s="391"/>
      <c r="U27" s="470" t="s">
        <v>84</v>
      </c>
      <c r="V27" s="378"/>
      <c r="W27" s="603">
        <v>69.8</v>
      </c>
      <c r="X27" s="391"/>
      <c r="Y27" s="393" t="s">
        <v>176</v>
      </c>
      <c r="Z27" s="357"/>
      <c r="AA27" s="357"/>
      <c r="AB27" s="357"/>
      <c r="AC27" s="357"/>
      <c r="AD27" s="357"/>
      <c r="AE27" s="357"/>
      <c r="AF27" s="357"/>
      <c r="AG27" s="357"/>
      <c r="AH27" s="357"/>
      <c r="AI27" s="357"/>
      <c r="AJ27" s="357"/>
      <c r="AK27" s="357"/>
      <c r="AL27" s="357"/>
    </row>
    <row r="28" spans="2:38" ht="15" customHeight="1" thickTop="1" x14ac:dyDescent="0.3">
      <c r="K28" s="20" t="str">
        <f>"R  Row 2 -   "&amp;IF(F9=0,"  ---",F9&amp;"#")</f>
        <v>R  Row 2 -     ---</v>
      </c>
      <c r="R28" s="358"/>
      <c r="S28" s="601" t="str">
        <f t="shared" si="1"/>
        <v>Ln28</v>
      </c>
      <c r="T28" s="391"/>
      <c r="U28" s="470" t="s">
        <v>85</v>
      </c>
      <c r="V28" s="378"/>
      <c r="W28" s="603">
        <v>99.3</v>
      </c>
      <c r="X28" s="391"/>
      <c r="Y28" s="393" t="s">
        <v>176</v>
      </c>
      <c r="Z28" s="357"/>
      <c r="AA28" s="357"/>
      <c r="AB28" s="472"/>
      <c r="AC28" s="473"/>
      <c r="AD28" s="474" t="s">
        <v>165</v>
      </c>
      <c r="AE28" s="371"/>
      <c r="AF28" s="371"/>
      <c r="AG28" s="371"/>
      <c r="AH28" s="371"/>
      <c r="AI28" s="371"/>
      <c r="AJ28" s="357"/>
      <c r="AK28" s="357"/>
      <c r="AL28" s="357"/>
    </row>
    <row r="29" spans="2:38" ht="15" customHeight="1" thickBot="1" x14ac:dyDescent="0.3">
      <c r="B29" s="60" t="s">
        <v>79</v>
      </c>
      <c r="K29" s="20" t="str">
        <f>"L  Row 3 -   "&amp;IF(C11=0,"  ---",C11&amp;"#")</f>
        <v>L  Row 3 -     ---</v>
      </c>
      <c r="R29" s="358"/>
      <c r="S29" s="601" t="str">
        <f t="shared" si="1"/>
        <v>Ln29</v>
      </c>
      <c r="T29" s="391"/>
      <c r="U29" s="470" t="s">
        <v>86</v>
      </c>
      <c r="V29" s="378"/>
      <c r="W29" s="603">
        <v>127.8</v>
      </c>
      <c r="X29" s="391"/>
      <c r="Y29" s="393" t="s">
        <v>176</v>
      </c>
      <c r="Z29" s="357"/>
      <c r="AA29" s="357"/>
      <c r="AB29" s="357"/>
      <c r="AC29" s="357"/>
      <c r="AD29" s="357"/>
      <c r="AE29" s="382" t="s">
        <v>162</v>
      </c>
      <c r="AF29" s="357"/>
      <c r="AG29" s="357"/>
      <c r="AH29" s="357"/>
      <c r="AI29" s="473"/>
      <c r="AJ29" s="357"/>
      <c r="AK29" s="357"/>
      <c r="AL29" s="357"/>
    </row>
    <row r="30" spans="2:38" ht="12.75" customHeight="1" thickTop="1" thickBot="1" x14ac:dyDescent="0.25">
      <c r="B30" s="22" t="s">
        <v>127</v>
      </c>
      <c r="D30" s="782">
        <f>W42+(L16*-1)</f>
        <v>1621</v>
      </c>
      <c r="E30" s="838"/>
      <c r="F30" s="783"/>
      <c r="G30" s="784" t="str">
        <f>"( "&amp;TEXT(W42,"#,##0")&amp;"+"&amp;L16*-1&amp;" )"</f>
        <v>( 1,611+10 )</v>
      </c>
      <c r="H30" s="839"/>
      <c r="I30" s="785"/>
      <c r="J30" s="785"/>
      <c r="K30" s="20" t="str">
        <f>"R  Row 3 -   "&amp;IF(F11=0,"  ---",F11&amp;"#")</f>
        <v>R  Row 3 -     ---</v>
      </c>
      <c r="R30" s="358"/>
      <c r="S30" s="357"/>
      <c r="T30" s="370"/>
      <c r="U30" s="370" t="s">
        <v>234</v>
      </c>
      <c r="V30" s="370"/>
      <c r="W30" s="614" t="s">
        <v>238</v>
      </c>
      <c r="X30" s="370" t="s">
        <v>235</v>
      </c>
      <c r="Y30" s="370"/>
      <c r="Z30" s="357"/>
      <c r="AA30" s="476"/>
      <c r="AB30" s="477"/>
      <c r="AC30" s="478">
        <v>4000</v>
      </c>
      <c r="AD30" s="41"/>
      <c r="AE30" s="403">
        <f>AC30</f>
        <v>4000</v>
      </c>
      <c r="AF30" s="357"/>
      <c r="AG30" s="41"/>
      <c r="AH30" s="479">
        <v>56</v>
      </c>
      <c r="AI30" s="41"/>
      <c r="AJ30" s="390">
        <v>64</v>
      </c>
      <c r="AK30" s="357"/>
      <c r="AL30" s="357"/>
    </row>
    <row r="31" spans="2:38" ht="13.5" thickBot="1" x14ac:dyDescent="0.25">
      <c r="B31" s="22" t="s">
        <v>126</v>
      </c>
      <c r="D31" s="786">
        <f>SUM(L8:L14)</f>
        <v>0</v>
      </c>
      <c r="E31" s="826"/>
      <c r="F31" s="787"/>
      <c r="K31" s="20" t="str">
        <f>"L  Row 4 -   "&amp;IF(C13=0,"  ---",C13&amp;"#")</f>
        <v>L  Row 4 -     ---</v>
      </c>
      <c r="R31" s="358"/>
      <c r="S31" s="601" t="str">
        <f t="shared" si="1"/>
        <v>Ln31</v>
      </c>
      <c r="T31" s="391"/>
      <c r="U31" s="470" t="s">
        <v>32</v>
      </c>
      <c r="V31" s="602"/>
      <c r="W31" s="615">
        <f>IF(H8=TRUE,1,0)</f>
        <v>0</v>
      </c>
      <c r="X31" s="603">
        <v>21.2</v>
      </c>
      <c r="Y31" s="391"/>
      <c r="Z31" s="357"/>
      <c r="AA31" s="543"/>
      <c r="AB31" s="82"/>
      <c r="AC31" s="41"/>
      <c r="AD31" s="41"/>
      <c r="AE31" s="41"/>
      <c r="AF31" s="357"/>
      <c r="AG31" s="41"/>
      <c r="AH31" s="41"/>
      <c r="AI31" s="41"/>
      <c r="AJ31" s="41"/>
      <c r="AK31" s="357"/>
      <c r="AL31" s="357"/>
    </row>
    <row r="32" spans="2:38" ht="13.5" x14ac:dyDescent="0.25">
      <c r="B32" s="22" t="str">
        <f>IF(D31&lt;=D30,"Lbs before overweight","OVERWEIGHT")</f>
        <v>Lbs before overweight</v>
      </c>
      <c r="D32" s="788">
        <f>ABS(D30-D31)</f>
        <v>1621</v>
      </c>
      <c r="E32" s="824"/>
      <c r="F32" s="789"/>
      <c r="G32" s="790" t="str">
        <f>IF(D31&gt;D30,"# Over","")</f>
        <v/>
      </c>
      <c r="H32" s="825"/>
      <c r="I32" s="791"/>
      <c r="J32" s="791"/>
      <c r="K32" s="20" t="str">
        <f>"R  Row 4 -   "&amp;IF(F13=0,"  ---",F13&amp;"#")</f>
        <v>R  Row 4 -     ---</v>
      </c>
      <c r="R32" s="358"/>
      <c r="S32" s="601" t="str">
        <f t="shared" si="1"/>
        <v>Ln32</v>
      </c>
      <c r="T32" s="391"/>
      <c r="U32" s="470" t="s">
        <v>84</v>
      </c>
      <c r="V32" s="602"/>
      <c r="W32" s="615">
        <f>IF(AND(E10=TRUE,H10=TRUE),2,IF(E10=TRUE,1,IF(H10=TRUE,1,0)))</f>
        <v>0</v>
      </c>
      <c r="X32" s="603">
        <v>13.9</v>
      </c>
      <c r="Y32" s="391"/>
      <c r="Z32" s="357"/>
      <c r="AA32" s="481" t="s">
        <v>155</v>
      </c>
      <c r="AB32" s="82"/>
      <c r="AC32" s="41"/>
      <c r="AD32" s="41"/>
      <c r="AE32" s="41"/>
      <c r="AF32" s="357"/>
      <c r="AG32" s="41"/>
      <c r="AH32" s="41"/>
      <c r="AI32" s="41"/>
      <c r="AJ32" s="41"/>
      <c r="AK32" s="357"/>
      <c r="AL32" s="357"/>
    </row>
    <row r="33" spans="2:38" ht="13.5" x14ac:dyDescent="0.25">
      <c r="K33" s="20" t="str">
        <f>"Bag 1 -   "&amp;IF(C15=0,"  ---",C15&amp;"#")</f>
        <v>Bag 1 -     ---</v>
      </c>
      <c r="R33" s="358"/>
      <c r="S33" s="601" t="str">
        <f t="shared" si="1"/>
        <v>Ln33</v>
      </c>
      <c r="T33" s="391"/>
      <c r="U33" s="470" t="s">
        <v>85</v>
      </c>
      <c r="V33" s="602"/>
      <c r="W33" s="615">
        <f>IF(AND(E12=TRUE,H12=TRUE),2,IF(E12=TRUE,1,IF(H12=TRUE,1,0)))</f>
        <v>0</v>
      </c>
      <c r="X33" s="603">
        <v>13.9</v>
      </c>
      <c r="Y33" s="391"/>
      <c r="Z33" s="357"/>
      <c r="AA33" s="481" t="s">
        <v>50</v>
      </c>
      <c r="AB33" s="82"/>
      <c r="AC33" s="766" t="s">
        <v>1</v>
      </c>
      <c r="AD33" s="766"/>
      <c r="AE33" s="41"/>
      <c r="AF33" s="357"/>
      <c r="AG33" s="41"/>
      <c r="AH33" s="766" t="s">
        <v>154</v>
      </c>
      <c r="AI33" s="766"/>
      <c r="AJ33" s="41"/>
      <c r="AK33" s="357"/>
      <c r="AL33" s="357"/>
    </row>
    <row r="34" spans="2:38" ht="13.5" x14ac:dyDescent="0.25">
      <c r="K34" s="20" t="str">
        <f>"Bag 2 -   "&amp;IF(C16=0,"  ---",C16&amp;"#")</f>
        <v>Bag 2 -     ---</v>
      </c>
      <c r="R34" s="358"/>
      <c r="S34" s="601" t="str">
        <f t="shared" si="1"/>
        <v>Ln34</v>
      </c>
      <c r="T34" s="391"/>
      <c r="U34" s="470" t="s">
        <v>86</v>
      </c>
      <c r="V34" s="602"/>
      <c r="W34" s="615">
        <f>IF(AND(E14=TRUE,H14=TRUE),2,IF(E14=TRUE,1,IF(H14=TRUE,1,0)))</f>
        <v>0</v>
      </c>
      <c r="X34" s="603">
        <v>13.9</v>
      </c>
      <c r="Y34" s="391"/>
      <c r="Z34" s="357"/>
      <c r="AA34" s="481" t="s">
        <v>56</v>
      </c>
      <c r="AB34" s="478">
        <v>2400</v>
      </c>
      <c r="AC34" s="766" t="s">
        <v>153</v>
      </c>
      <c r="AD34" s="766"/>
      <c r="AE34" s="41"/>
      <c r="AF34" s="357"/>
      <c r="AG34" s="628">
        <f>AG38</f>
        <v>48</v>
      </c>
      <c r="AH34" s="766" t="s">
        <v>153</v>
      </c>
      <c r="AI34" s="766"/>
      <c r="AJ34" s="41"/>
      <c r="AK34" s="357"/>
      <c r="AL34" s="357"/>
    </row>
    <row r="35" spans="2:38" ht="13.9" customHeight="1" x14ac:dyDescent="0.25">
      <c r="K35" s="619" t="str">
        <f>IF(SUM(W31:W34)&gt;0,"NOTE:","")</f>
        <v/>
      </c>
      <c r="R35" s="358"/>
      <c r="S35" s="357"/>
      <c r="T35" s="370" t="s">
        <v>237</v>
      </c>
      <c r="U35" s="370"/>
      <c r="V35" s="370"/>
      <c r="W35" s="372" t="s">
        <v>2</v>
      </c>
      <c r="X35" s="372" t="s">
        <v>1</v>
      </c>
      <c r="Y35" s="370"/>
      <c r="Z35" s="357"/>
      <c r="AA35" s="481" t="s">
        <v>57</v>
      </c>
      <c r="AB35" s="82"/>
      <c r="AC35" s="41"/>
      <c r="AD35" s="41"/>
      <c r="AE35" s="767" t="s">
        <v>157</v>
      </c>
      <c r="AF35" s="357"/>
      <c r="AG35" s="41"/>
      <c r="AH35" s="41"/>
      <c r="AI35" s="41"/>
      <c r="AJ35" s="767" t="s">
        <v>157</v>
      </c>
      <c r="AK35" s="357"/>
      <c r="AL35" s="357"/>
    </row>
    <row r="36" spans="2:38" ht="13.5" x14ac:dyDescent="0.25">
      <c r="K36" s="20" t="str">
        <f>IF(SUM(W31:W34)&gt;0,SUM(W31:W34)&amp;" seats removed from","")</f>
        <v/>
      </c>
      <c r="R36" s="358"/>
      <c r="S36" s="601" t="str">
        <f t="shared" si="1"/>
        <v>Ln36</v>
      </c>
      <c r="T36" s="83" t="str">
        <f>IF(C15&gt;X36,"ERR","OK")</f>
        <v>OK</v>
      </c>
      <c r="U36" s="456" t="s">
        <v>38</v>
      </c>
      <c r="V36" s="512"/>
      <c r="W36" s="603">
        <v>148.30000000000001</v>
      </c>
      <c r="X36" s="84">
        <v>250</v>
      </c>
      <c r="Y36" s="391"/>
      <c r="Z36" s="357"/>
      <c r="AA36" s="481" t="s">
        <v>156</v>
      </c>
      <c r="AB36" s="82"/>
      <c r="AC36" s="41"/>
      <c r="AD36" s="41"/>
      <c r="AE36" s="767"/>
      <c r="AF36" s="357"/>
      <c r="AG36" s="41"/>
      <c r="AH36" s="41"/>
      <c r="AI36" s="41"/>
      <c r="AJ36" s="767"/>
      <c r="AK36" s="357"/>
      <c r="AL36" s="357"/>
    </row>
    <row r="37" spans="2:38" ht="13.5" x14ac:dyDescent="0.25">
      <c r="K37" s="20" t="str">
        <f>IF(SUM(W31:W34)&gt;0,"    row(s) "&amp;IF(W31&gt;0," 1 ","")&amp;IF(W32&gt;0," 2 ","")&amp;IF(W33&gt;0," 3 ","")&amp;IF(W34&gt;0," 4 ",""),"")</f>
        <v/>
      </c>
      <c r="R37" s="358"/>
      <c r="S37" s="601" t="str">
        <f t="shared" si="1"/>
        <v>Ln37</v>
      </c>
      <c r="T37" s="83" t="str">
        <f>IF(C16&gt;X37,"ERR","OK")</f>
        <v>OK</v>
      </c>
      <c r="U37" s="456" t="s">
        <v>39</v>
      </c>
      <c r="V37" s="512"/>
      <c r="W37" s="603">
        <v>182</v>
      </c>
      <c r="X37" s="84">
        <v>50</v>
      </c>
      <c r="Y37" s="391"/>
      <c r="Z37" s="357"/>
      <c r="AA37" s="481" t="s">
        <v>47</v>
      </c>
      <c r="AB37" s="82"/>
      <c r="AC37" s="41"/>
      <c r="AD37" s="41"/>
      <c r="AE37" s="768"/>
      <c r="AF37" s="357"/>
      <c r="AG37" s="41"/>
      <c r="AH37" s="41"/>
      <c r="AI37" s="41"/>
      <c r="AJ37" s="768"/>
      <c r="AK37" s="357"/>
      <c r="AL37" s="357"/>
    </row>
    <row r="38" spans="2:38" x14ac:dyDescent="0.2">
      <c r="K38" s="620" t="s">
        <v>63</v>
      </c>
      <c r="R38" s="358"/>
      <c r="S38" s="601" t="str">
        <f t="shared" si="1"/>
        <v>Ln38</v>
      </c>
      <c r="T38" s="511" t="str">
        <f>IF(X38="","OK",IF(C15+C16&gt;X38,"ERR","OK"))</f>
        <v>OK</v>
      </c>
      <c r="U38" s="470" t="s">
        <v>30</v>
      </c>
      <c r="V38" s="512"/>
      <c r="W38" s="471"/>
      <c r="X38" s="468"/>
      <c r="Y38" s="391"/>
      <c r="Z38" s="357"/>
      <c r="AA38" s="542"/>
      <c r="AB38" s="478">
        <v>2100</v>
      </c>
      <c r="AC38" s="41"/>
      <c r="AD38" s="41"/>
      <c r="AE38" s="403">
        <f>AE30</f>
        <v>4000</v>
      </c>
      <c r="AF38" s="357"/>
      <c r="AG38" s="489">
        <v>48</v>
      </c>
      <c r="AH38" s="82"/>
      <c r="AI38" s="82"/>
      <c r="AJ38" s="490">
        <f>AJ30</f>
        <v>64</v>
      </c>
      <c r="AK38" s="357"/>
      <c r="AL38" s="357"/>
    </row>
    <row r="39" spans="2:38" ht="14.25" thickBot="1" x14ac:dyDescent="0.3">
      <c r="K39" s="20" t="str">
        <f>"Start:  "&amp;TEXT(D18,("##0"))&amp;" USG"</f>
        <v>Start:  0 USG</v>
      </c>
      <c r="R39" s="358"/>
      <c r="S39" s="357"/>
      <c r="T39" s="357"/>
      <c r="U39" s="357"/>
      <c r="V39" s="357"/>
      <c r="W39" s="357"/>
      <c r="X39" s="357"/>
      <c r="Y39" s="357"/>
      <c r="Z39" s="357"/>
      <c r="AA39" s="494"/>
      <c r="AB39" s="495"/>
      <c r="AC39" s="41"/>
      <c r="AD39" s="41"/>
      <c r="AE39" s="41"/>
      <c r="AF39" s="357"/>
      <c r="AG39" s="496"/>
      <c r="AH39" s="769" t="s">
        <v>161</v>
      </c>
      <c r="AI39" s="769"/>
      <c r="AJ39" s="497"/>
      <c r="AK39" s="357"/>
      <c r="AL39" s="357"/>
    </row>
    <row r="40" spans="2:38" ht="13.5" thickTop="1" x14ac:dyDescent="0.2">
      <c r="K40" s="20" t="str">
        <f>"Used:    "&amp;TEXT(D21,("##0"))&amp;" USG"</f>
        <v>Used:    0 USG</v>
      </c>
      <c r="R40" s="358"/>
      <c r="S40" s="357"/>
      <c r="T40" s="357"/>
      <c r="U40" s="357"/>
      <c r="V40" s="357"/>
      <c r="W40" s="357"/>
      <c r="X40" s="357"/>
      <c r="Y40" s="357"/>
      <c r="Z40" s="357"/>
      <c r="AA40" s="357"/>
      <c r="AB40" s="357"/>
      <c r="AC40" s="357"/>
      <c r="AD40" s="357"/>
      <c r="AE40" s="357"/>
      <c r="AF40" s="357"/>
      <c r="AG40" s="357"/>
      <c r="AH40" s="357"/>
      <c r="AI40" s="357"/>
      <c r="AJ40" s="357"/>
      <c r="AK40" s="357"/>
      <c r="AL40" s="357"/>
    </row>
    <row r="41" spans="2:38" ht="13.5" thickBot="1" x14ac:dyDescent="0.25">
      <c r="B41" s="618" t="str">
        <f>IF(W31&gt;0,"Row 1 Seat Removed","")</f>
        <v/>
      </c>
      <c r="K41" s="20" t="str">
        <f>"Reserve:  "&amp;D18-D21&amp;" USG"</f>
        <v>Reserve:  0 USG</v>
      </c>
      <c r="R41" s="358"/>
      <c r="S41" s="370" t="s">
        <v>160</v>
      </c>
      <c r="T41" s="371"/>
      <c r="U41" s="371"/>
      <c r="V41" s="371"/>
      <c r="W41" s="482" t="s">
        <v>1</v>
      </c>
      <c r="X41" s="357"/>
      <c r="Y41" s="357"/>
      <c r="Z41" s="357"/>
      <c r="AA41" s="237"/>
      <c r="AB41" s="237"/>
      <c r="AC41" s="290" t="str">
        <f>IF(W8=W10,"OK",IF(AC42&gt;W10,"OUT","OK"))</f>
        <v>OK</v>
      </c>
      <c r="AD41" s="250"/>
      <c r="AE41" s="237"/>
      <c r="AF41" s="237"/>
      <c r="AG41" s="290" t="str">
        <f>IF(W8=W10,"OK",IF(AND(AG42&gt;=AI42,AG42&lt;=AJ42),"OK","OUT"))</f>
        <v>OK</v>
      </c>
      <c r="AH41" s="237"/>
      <c r="AI41" s="237"/>
      <c r="AJ41" s="237"/>
      <c r="AK41" s="357"/>
      <c r="AL41" s="357"/>
    </row>
    <row r="42" spans="2:38" ht="14.25" thickTop="1" thickBot="1" x14ac:dyDescent="0.25">
      <c r="B42" s="618" t="str">
        <f t="shared" ref="B42:B44" si="2">IF(W32&gt;0,"Row 1 Seat Removed","")</f>
        <v/>
      </c>
      <c r="K42" s="620" t="s">
        <v>72</v>
      </c>
      <c r="R42" s="358"/>
      <c r="S42" s="601" t="str">
        <f t="shared" ref="S42:S44" si="3">"Ln"&amp;ROW()</f>
        <v>Ln42</v>
      </c>
      <c r="T42" s="484"/>
      <c r="U42" s="400" t="s">
        <v>77</v>
      </c>
      <c r="V42" s="485"/>
      <c r="W42" s="88">
        <f>ROUNDDOWN(W8-W7,0)</f>
        <v>1611</v>
      </c>
      <c r="X42" s="357"/>
      <c r="Y42" s="357"/>
      <c r="Z42" s="357"/>
      <c r="AA42" s="270" t="s">
        <v>53</v>
      </c>
      <c r="AB42" s="288" t="s">
        <v>1</v>
      </c>
      <c r="AC42" s="320">
        <f ca="1">L20</f>
        <v>2379</v>
      </c>
      <c r="AD42" s="236"/>
      <c r="AE42" s="292"/>
      <c r="AF42" s="289" t="s">
        <v>40</v>
      </c>
      <c r="AG42" s="320">
        <f ca="1">M21</f>
        <v>54.826952501050854</v>
      </c>
      <c r="AH42" s="287" t="s">
        <v>61</v>
      </c>
      <c r="AI42" s="321">
        <f ca="1">VLOOKUP(AC42,AB45:AJ48,8)</f>
        <v>48</v>
      </c>
      <c r="AJ42" s="322">
        <f ca="1">VLOOKUP(AC42,AB45:AJ48,9)</f>
        <v>64</v>
      </c>
      <c r="AK42" s="357"/>
      <c r="AL42" s="357"/>
    </row>
    <row r="43" spans="2:38" ht="13.5" thickTop="1" x14ac:dyDescent="0.2">
      <c r="B43" s="618" t="str">
        <f t="shared" si="2"/>
        <v/>
      </c>
      <c r="K43" s="63" t="str">
        <f>IF(V47="","","Max Flight (NO Res)")</f>
        <v/>
      </c>
      <c r="R43" s="358"/>
      <c r="S43" s="601" t="str">
        <f t="shared" si="3"/>
        <v>Ln43</v>
      </c>
      <c r="T43" s="484"/>
      <c r="U43" s="400" t="s">
        <v>76</v>
      </c>
      <c r="V43" s="485"/>
      <c r="W43" s="88">
        <f>IF(V19=0,"",W42-X19)</f>
        <v>1215</v>
      </c>
      <c r="X43" s="357"/>
      <c r="Y43" s="357"/>
      <c r="Z43" s="357"/>
      <c r="AA43" s="271" t="s">
        <v>48</v>
      </c>
      <c r="AB43" s="273"/>
      <c r="AC43" s="274" t="s">
        <v>67</v>
      </c>
      <c r="AD43" s="275"/>
      <c r="AE43" s="293"/>
      <c r="AF43" s="273"/>
      <c r="AG43" s="276" t="s">
        <v>66</v>
      </c>
      <c r="AH43" s="273"/>
      <c r="AI43" s="277" t="s">
        <v>46</v>
      </c>
      <c r="AJ43" s="278" t="s">
        <v>46</v>
      </c>
      <c r="AK43" s="357"/>
      <c r="AL43" s="357"/>
    </row>
    <row r="44" spans="2:38" ht="13.5" thickBot="1" x14ac:dyDescent="0.25">
      <c r="B44" s="618" t="str">
        <f t="shared" si="2"/>
        <v/>
      </c>
      <c r="K44" s="21" t="str">
        <f>IF(V47="","","~"&amp;TEXT(U32,("##.0"))&amp;" hrs")</f>
        <v/>
      </c>
      <c r="R44" s="358"/>
      <c r="S44" s="601" t="str">
        <f t="shared" si="3"/>
        <v>Ln44</v>
      </c>
      <c r="T44" s="484"/>
      <c r="U44" s="400" t="s">
        <v>78</v>
      </c>
      <c r="V44" s="487"/>
      <c r="W44" s="88">
        <f>W42-X18</f>
        <v>1089</v>
      </c>
      <c r="X44" s="357"/>
      <c r="Y44" s="357"/>
      <c r="Z44" s="357"/>
      <c r="AA44" s="271" t="s">
        <v>54</v>
      </c>
      <c r="AB44" s="279" t="s">
        <v>41</v>
      </c>
      <c r="AC44" s="279" t="s">
        <v>42</v>
      </c>
      <c r="AD44" s="280" t="s">
        <v>43</v>
      </c>
      <c r="AE44" s="281" t="s">
        <v>41</v>
      </c>
      <c r="AF44" s="282" t="s">
        <v>42</v>
      </c>
      <c r="AG44" s="283" t="s">
        <v>44</v>
      </c>
      <c r="AH44" s="284" t="s">
        <v>45</v>
      </c>
      <c r="AI44" s="285" t="s">
        <v>68</v>
      </c>
      <c r="AJ44" s="286" t="s">
        <v>69</v>
      </c>
      <c r="AK44" s="357"/>
      <c r="AL44" s="357"/>
    </row>
    <row r="45" spans="2:38" ht="14.25" thickTop="1" x14ac:dyDescent="0.25">
      <c r="B45" s="524"/>
      <c r="K45" s="61" t="str">
        <f>IF(V47="","","@ "&amp;TEXT(D19,"##.0")&amp;" GPH")</f>
        <v/>
      </c>
      <c r="R45" s="358"/>
      <c r="S45" s="357"/>
      <c r="T45" s="357"/>
      <c r="U45" s="357"/>
      <c r="V45" s="357"/>
      <c r="W45" s="357"/>
      <c r="X45" s="357"/>
      <c r="Y45" s="357"/>
      <c r="Z45" s="357"/>
      <c r="AA45" s="271" t="s">
        <v>55</v>
      </c>
      <c r="AB45" s="218">
        <f>AB38</f>
        <v>2100</v>
      </c>
      <c r="AC45" s="219">
        <f>AB34</f>
        <v>2400</v>
      </c>
      <c r="AD45" s="528">
        <f>+AC45-AB45</f>
        <v>300</v>
      </c>
      <c r="AE45" s="222">
        <f>AG38</f>
        <v>48</v>
      </c>
      <c r="AF45" s="223">
        <f>AG34</f>
        <v>48</v>
      </c>
      <c r="AG45" s="533">
        <f>AF45-AE45</f>
        <v>0</v>
      </c>
      <c r="AH45" s="534">
        <f>IF(OR(AD45=0,AG45=0),0,ROUND(AG45/AD45,5))</f>
        <v>0</v>
      </c>
      <c r="AI45" s="535">
        <f ca="1">IF(AND(AC42&gt;=AB45,AC42&lt;AC45),AE45+((AC42-AB45)*AH45),AE45)</f>
        <v>48</v>
      </c>
      <c r="AJ45" s="536">
        <f>AF48</f>
        <v>64</v>
      </c>
      <c r="AK45" s="357"/>
      <c r="AL45" s="357"/>
    </row>
    <row r="46" spans="2:38" ht="13.5" x14ac:dyDescent="0.25">
      <c r="B46" s="524"/>
      <c r="K46" s="65" t="str">
        <f>IF(T57&lt;&gt;"OK","","  At end of ")</f>
        <v/>
      </c>
      <c r="R46" s="358"/>
      <c r="S46" s="370" t="s">
        <v>119</v>
      </c>
      <c r="T46" s="371"/>
      <c r="U46" s="482"/>
      <c r="V46" s="488" t="s">
        <v>121</v>
      </c>
      <c r="W46" s="357"/>
      <c r="X46" s="357"/>
      <c r="Y46" s="357"/>
      <c r="Z46" s="357"/>
      <c r="AA46" s="271" t="s">
        <v>56</v>
      </c>
      <c r="AB46" s="526">
        <f>AC45</f>
        <v>2400</v>
      </c>
      <c r="AC46" s="220">
        <f>AC30</f>
        <v>4000</v>
      </c>
      <c r="AD46" s="529">
        <f>+AC46-AB46</f>
        <v>1600</v>
      </c>
      <c r="AE46" s="531">
        <f>IF(AF46=AF45,AE45,AF45)</f>
        <v>48</v>
      </c>
      <c r="AF46" s="224">
        <f>AH30</f>
        <v>56</v>
      </c>
      <c r="AG46" s="533">
        <f>AF46-AE46</f>
        <v>8</v>
      </c>
      <c r="AH46" s="534">
        <f>IF(OR(AD46=0,AG46=0),0,ROUND(AG46/AD46,5))</f>
        <v>5.0000000000000001E-3</v>
      </c>
      <c r="AI46" s="535">
        <f ca="1">IF(AND(AC42&gt;=AB46,AC42&lt;AC46),AE46+((AC42-AB46)*AH46),AE46)</f>
        <v>48</v>
      </c>
      <c r="AJ46" s="537">
        <f>AJ45</f>
        <v>64</v>
      </c>
      <c r="AK46" s="357"/>
      <c r="AL46" s="357"/>
    </row>
    <row r="47" spans="2:38" ht="13.5" x14ac:dyDescent="0.25">
      <c r="B47" s="524"/>
      <c r="K47" s="66" t="str">
        <f>IF(T57&lt;&gt;"OK","",TEXT(D20,"##.0")&amp;" Hr Trip . . ")</f>
        <v/>
      </c>
      <c r="R47" s="358"/>
      <c r="S47" s="601" t="str">
        <f t="shared" ref="S47:S48" si="4">"Ln"&amp;ROW()</f>
        <v>Ln47</v>
      </c>
      <c r="T47" s="491" t="s">
        <v>91</v>
      </c>
      <c r="U47" s="492"/>
      <c r="V47" s="493" t="str">
        <f>IF(AND(D18&gt;0,D19&gt;0),ROUND(D18/D19,3),"")</f>
        <v/>
      </c>
      <c r="W47" s="357"/>
      <c r="X47" s="357"/>
      <c r="Y47" s="357"/>
      <c r="Z47" s="357"/>
      <c r="AA47" s="271" t="s">
        <v>54</v>
      </c>
      <c r="AB47" s="526">
        <f>AC46</f>
        <v>4000</v>
      </c>
      <c r="AC47" s="220">
        <f>AE30</f>
        <v>4000</v>
      </c>
      <c r="AD47" s="529">
        <f>+AC47-AB47</f>
        <v>0</v>
      </c>
      <c r="AE47" s="531">
        <f>IF(AF47=AF46,AE46,AF46)</f>
        <v>56</v>
      </c>
      <c r="AF47" s="224">
        <v>64</v>
      </c>
      <c r="AG47" s="533">
        <f>AF47-AE47</f>
        <v>8</v>
      </c>
      <c r="AH47" s="534">
        <f>IF(OR(AD47=0,AG47=0),0,ROUND(AG47/AD47,5))</f>
        <v>0</v>
      </c>
      <c r="AI47" s="535">
        <f ca="1">IF(AND(AC42&gt;=AB47,AC42&lt;AC47),AE47+((AC42-AB47)*AH47),AE47)</f>
        <v>56</v>
      </c>
      <c r="AJ47" s="537">
        <f>AJ46</f>
        <v>64</v>
      </c>
      <c r="AK47" s="357"/>
      <c r="AL47" s="357"/>
    </row>
    <row r="48" spans="2:38" ht="13.5" x14ac:dyDescent="0.25">
      <c r="B48" s="524"/>
      <c r="K48" s="62" t="str">
        <f>IF(T57&lt;&gt;"OK","","Reserve is ~ "&amp;TEXT(V48,"##.0")&amp;" Hrs")</f>
        <v/>
      </c>
      <c r="R48" s="358"/>
      <c r="S48" s="601" t="str">
        <f t="shared" si="4"/>
        <v>Ln48</v>
      </c>
      <c r="T48" s="491" t="s">
        <v>95</v>
      </c>
      <c r="U48" s="492"/>
      <c r="V48" s="493" t="str">
        <f>IF(AND(D18&gt;0,D19&gt;0,D21&gt;0),ROUND((D18-D21)/D19,3),"")</f>
        <v/>
      </c>
      <c r="W48" s="357"/>
      <c r="X48" s="357"/>
      <c r="Y48" s="357"/>
      <c r="Z48" s="357"/>
      <c r="AA48" s="272" t="s">
        <v>57</v>
      </c>
      <c r="AB48" s="527">
        <f>AC47</f>
        <v>4000</v>
      </c>
      <c r="AC48" s="221">
        <f>AE38</f>
        <v>4000</v>
      </c>
      <c r="AD48" s="530">
        <f>+AC48-AB48</f>
        <v>0</v>
      </c>
      <c r="AE48" s="532">
        <f>IF(AF48=AF47,AE47,AF47)</f>
        <v>56</v>
      </c>
      <c r="AF48" s="225">
        <v>64</v>
      </c>
      <c r="AG48" s="538">
        <f>AF48-AE48</f>
        <v>8</v>
      </c>
      <c r="AH48" s="539">
        <f>IF(OR(AD48=0,AG48=0),0,ROUND(AG48/AD48,5))</f>
        <v>0</v>
      </c>
      <c r="AI48" s="540">
        <f ca="1">IF(AND(AC42&gt;=AB48,AC42&lt;AC48),AE48+((AC42-AB48)*AH48),AE48)</f>
        <v>56</v>
      </c>
      <c r="AJ48" s="541">
        <f>AJ47</f>
        <v>64</v>
      </c>
      <c r="AK48" s="357"/>
      <c r="AL48" s="357"/>
    </row>
    <row r="49" spans="2:38" ht="13.5" x14ac:dyDescent="0.25">
      <c r="B49" s="524"/>
      <c r="K49" s="64" t="str">
        <f>IF(T57&lt;&gt;"OK","",IF(T58&lt;&gt;"OK","Caution: &lt; 1 HR",""))</f>
        <v/>
      </c>
      <c r="R49" s="358"/>
      <c r="S49" s="357"/>
      <c r="T49" s="357"/>
      <c r="U49" s="357"/>
      <c r="V49" s="357"/>
      <c r="W49" s="357"/>
      <c r="X49" s="357"/>
      <c r="Y49" s="357"/>
      <c r="Z49" s="357"/>
      <c r="AA49" s="357"/>
      <c r="AB49" s="357"/>
      <c r="AC49" s="357"/>
      <c r="AD49" s="357"/>
      <c r="AE49" s="357"/>
      <c r="AF49" s="357"/>
      <c r="AG49" s="357"/>
      <c r="AH49" s="357"/>
      <c r="AI49" s="357"/>
      <c r="AJ49" s="357"/>
      <c r="AK49" s="357"/>
      <c r="AL49" s="357"/>
    </row>
    <row r="50" spans="2:38" ht="13.5" x14ac:dyDescent="0.25">
      <c r="B50" s="524"/>
      <c r="R50" s="358"/>
      <c r="S50" s="370" t="s">
        <v>175</v>
      </c>
      <c r="T50" s="371"/>
      <c r="U50" s="482"/>
      <c r="V50" s="482"/>
      <c r="W50" s="357"/>
      <c r="X50" s="357"/>
      <c r="Y50" s="357"/>
      <c r="Z50" s="357"/>
      <c r="AA50" s="357"/>
      <c r="AB50" s="357"/>
      <c r="AC50" s="357"/>
      <c r="AD50" s="357"/>
      <c r="AE50" s="357"/>
      <c r="AF50" s="357"/>
      <c r="AG50" s="357"/>
      <c r="AH50" s="357"/>
      <c r="AI50" s="357"/>
      <c r="AJ50" s="357"/>
      <c r="AK50" s="357"/>
      <c r="AL50" s="357"/>
    </row>
    <row r="51" spans="2:38" ht="14.25" thickBot="1" x14ac:dyDescent="0.3">
      <c r="B51" s="524"/>
      <c r="R51" s="358"/>
      <c r="S51" s="601" t="str">
        <f t="shared" ref="S51:S58" si="5">"Ln"&amp;ROW()</f>
        <v>Ln51</v>
      </c>
      <c r="T51" s="83" t="str">
        <f>IF(AND(C7="",(F7+C9+F9+C11+F11+C13+F13)&gt;0),"WARN","OK")</f>
        <v>OK</v>
      </c>
      <c r="U51" s="504" t="s">
        <v>89</v>
      </c>
      <c r="V51" s="505"/>
      <c r="W51" s="357"/>
      <c r="X51" s="357"/>
      <c r="Y51" s="357"/>
      <c r="Z51" s="357"/>
      <c r="AA51" s="357"/>
      <c r="AB51" s="357"/>
      <c r="AC51" s="357"/>
      <c r="AD51" s="357"/>
      <c r="AE51" s="357"/>
      <c r="AF51" s="357"/>
      <c r="AG51" s="357"/>
      <c r="AH51" s="357"/>
      <c r="AI51" s="357"/>
      <c r="AJ51" s="357"/>
      <c r="AK51" s="357"/>
      <c r="AL51" s="357"/>
    </row>
    <row r="52" spans="2:38" ht="13.5" thickTop="1" x14ac:dyDescent="0.2">
      <c r="J52" s="141"/>
      <c r="K52" s="757" t="str">
        <f>'READ ME'!$O$22</f>
        <v>CAUTION:</v>
      </c>
      <c r="L52"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M52" s="760"/>
      <c r="N52" s="760"/>
      <c r="O52" s="761"/>
      <c r="R52" s="358"/>
      <c r="S52" s="601" t="str">
        <f t="shared" si="5"/>
        <v>Ln52</v>
      </c>
      <c r="T52" s="83" t="str">
        <f>IF(C7+C9+C11+C13+F7+F9+F11+F13&gt;0,"YES","NO")</f>
        <v>NO</v>
      </c>
      <c r="U52" s="504" t="s">
        <v>92</v>
      </c>
      <c r="V52" s="505"/>
      <c r="W52" s="357"/>
      <c r="X52" s="357"/>
      <c r="Y52" s="357"/>
      <c r="Z52" s="357"/>
      <c r="AA52" s="357"/>
      <c r="AB52" s="357"/>
      <c r="AC52" s="357"/>
      <c r="AD52" s="357"/>
      <c r="AE52" s="357"/>
      <c r="AF52" s="357"/>
      <c r="AG52" s="357"/>
      <c r="AH52" s="357"/>
      <c r="AI52" s="357"/>
      <c r="AJ52" s="357"/>
      <c r="AK52" s="357"/>
      <c r="AL52" s="357"/>
    </row>
    <row r="53" spans="2:38" x14ac:dyDescent="0.2">
      <c r="K53" s="758"/>
      <c r="L53" s="762"/>
      <c r="M53" s="762"/>
      <c r="N53" s="762"/>
      <c r="O53" s="763"/>
      <c r="R53" s="358"/>
      <c r="S53" s="601" t="str">
        <f t="shared" si="5"/>
        <v>Ln53</v>
      </c>
      <c r="T53" s="83" t="str">
        <f>IF(AND(C7&gt;0,D18=0),"WARN","OK")</f>
        <v>OK</v>
      </c>
      <c r="U53" s="506" t="s">
        <v>111</v>
      </c>
      <c r="V53" s="507"/>
      <c r="W53" s="357"/>
      <c r="X53" s="357"/>
      <c r="Y53" s="357"/>
      <c r="Z53" s="357"/>
      <c r="AA53" s="357"/>
      <c r="AB53" s="357"/>
      <c r="AC53" s="357"/>
      <c r="AD53" s="357"/>
      <c r="AE53" s="357"/>
      <c r="AF53" s="357"/>
      <c r="AG53" s="357"/>
      <c r="AH53" s="357"/>
      <c r="AI53" s="357"/>
      <c r="AJ53" s="357"/>
      <c r="AK53" s="357"/>
      <c r="AL53" s="357"/>
    </row>
    <row r="54" spans="2:38" ht="13.5" thickBot="1" x14ac:dyDescent="0.25">
      <c r="K54" s="759"/>
      <c r="L54" s="764"/>
      <c r="M54" s="764"/>
      <c r="N54" s="764"/>
      <c r="O54" s="765"/>
      <c r="R54" s="358"/>
      <c r="S54" s="601" t="str">
        <f t="shared" si="5"/>
        <v>Ln54</v>
      </c>
      <c r="T54" s="83" t="str">
        <f>IF(AND(C7&gt;0,D19=0),"WARN","OK")</f>
        <v>OK</v>
      </c>
      <c r="U54" s="506" t="s">
        <v>113</v>
      </c>
      <c r="V54" s="507"/>
      <c r="W54" s="357"/>
      <c r="X54" s="357"/>
      <c r="Y54" s="357"/>
      <c r="Z54" s="357"/>
      <c r="AA54" s="357"/>
      <c r="AB54" s="357"/>
      <c r="AC54" s="357"/>
      <c r="AD54" s="357"/>
      <c r="AE54" s="357"/>
      <c r="AF54" s="357"/>
      <c r="AG54" s="357"/>
      <c r="AH54" s="357"/>
      <c r="AI54" s="357"/>
      <c r="AJ54" s="357"/>
      <c r="AK54" s="357"/>
      <c r="AL54" s="357"/>
    </row>
    <row r="55" spans="2:38" ht="13.5" thickTop="1" x14ac:dyDescent="0.2">
      <c r="K55" s="650" t="str">
        <f>IF(C4&lt;&gt;9999,"","Env "&amp;AB22&amp;" "&amp;AC22&amp;" "&amp;AC23&amp;" "&amp;AC23&amp;" "&amp;AC24&amp;"   "&amp;AE22&amp;" "&amp;AF22&amp;" "&amp;AF23&amp;" "&amp;AF23&amp;" "&amp;AF24)</f>
        <v/>
      </c>
      <c r="R55" s="358"/>
      <c r="S55" s="601" t="str">
        <f t="shared" si="5"/>
        <v>Ln55</v>
      </c>
      <c r="T55" s="83" t="str">
        <f>IF(AND(C7&gt;0,D20=0),"WARN","OK")</f>
        <v>OK</v>
      </c>
      <c r="U55" s="506" t="s">
        <v>112</v>
      </c>
      <c r="V55" s="507"/>
      <c r="W55" s="357"/>
      <c r="X55" s="357"/>
      <c r="Y55" s="357"/>
      <c r="Z55" s="357"/>
      <c r="AA55" s="357"/>
      <c r="AB55" s="357"/>
      <c r="AC55" s="357"/>
      <c r="AD55" s="357"/>
      <c r="AE55" s="357"/>
      <c r="AF55" s="357"/>
      <c r="AG55" s="357"/>
      <c r="AH55" s="357"/>
      <c r="AI55" s="357"/>
      <c r="AJ55" s="357"/>
      <c r="AK55" s="357"/>
      <c r="AL55" s="357"/>
    </row>
    <row r="56" spans="2:38" x14ac:dyDescent="0.2">
      <c r="K56" s="651" t="str">
        <f>IF(C4&lt;&gt;9999,"","Fuel  T "&amp;V19&amp;"   F "&amp;V18&amp;"      Load   0 "&amp;W42&amp;"  T "&amp;W43&amp;"  F "&amp;W44)</f>
        <v/>
      </c>
      <c r="R56" s="358"/>
      <c r="S56" s="601" t="str">
        <f t="shared" si="5"/>
        <v>Ln56</v>
      </c>
      <c r="T56" s="83" t="str">
        <f>IF(D21&gt;D18,"ERR","OK")</f>
        <v>OK</v>
      </c>
      <c r="U56" s="506" t="s">
        <v>94</v>
      </c>
      <c r="V56" s="507"/>
      <c r="W56" s="357"/>
      <c r="X56" s="357"/>
      <c r="Y56" s="357"/>
      <c r="Z56" s="357"/>
      <c r="AA56" s="357"/>
      <c r="AB56" s="357"/>
      <c r="AC56" s="357"/>
      <c r="AD56" s="357"/>
      <c r="AE56" s="357"/>
      <c r="AF56" s="357"/>
      <c r="AG56" s="357"/>
      <c r="AH56" s="357"/>
      <c r="AI56" s="357"/>
      <c r="AJ56" s="357"/>
      <c r="AK56" s="357"/>
      <c r="AL56" s="357"/>
    </row>
    <row r="57" spans="2:38" x14ac:dyDescent="0.2">
      <c r="R57" s="358"/>
      <c r="S57" s="601" t="str">
        <f t="shared" si="5"/>
        <v>Ln57</v>
      </c>
      <c r="T57" s="83" t="str">
        <f>IF(OR(D18=0,D19=0,D20=0),"INFO","OK")</f>
        <v>INFO</v>
      </c>
      <c r="U57" s="506" t="s">
        <v>110</v>
      </c>
      <c r="V57" s="507"/>
      <c r="W57" s="357"/>
      <c r="X57" s="357"/>
      <c r="Y57" s="357"/>
      <c r="Z57" s="357"/>
      <c r="AA57" s="357"/>
      <c r="AB57" s="357"/>
      <c r="AC57" s="357"/>
      <c r="AD57" s="357"/>
      <c r="AE57" s="357"/>
      <c r="AF57" s="357"/>
      <c r="AG57" s="357"/>
      <c r="AH57" s="357"/>
      <c r="AI57" s="357"/>
      <c r="AJ57" s="357"/>
      <c r="AK57" s="357"/>
      <c r="AL57" s="357"/>
    </row>
    <row r="58" spans="2:38" x14ac:dyDescent="0.2">
      <c r="R58" s="358"/>
      <c r="S58" s="601" t="str">
        <f t="shared" si="5"/>
        <v>Ln58</v>
      </c>
      <c r="T58" s="83" t="str">
        <f>IF(AND(D18&gt;0,D19&gt;0,D20&gt;0,V48&lt;1),"WARN","OK")</f>
        <v>OK</v>
      </c>
      <c r="U58" s="506" t="s">
        <v>90</v>
      </c>
      <c r="V58" s="507"/>
      <c r="W58" s="357"/>
      <c r="X58" s="357"/>
      <c r="Y58" s="357"/>
      <c r="Z58" s="357"/>
      <c r="AA58" s="357"/>
      <c r="AB58" s="357"/>
      <c r="AC58" s="357"/>
      <c r="AD58" s="357"/>
      <c r="AE58" s="357"/>
      <c r="AF58" s="357"/>
      <c r="AG58" s="357"/>
      <c r="AH58" s="357"/>
      <c r="AI58" s="357"/>
      <c r="AJ58" s="357"/>
      <c r="AK58" s="357"/>
      <c r="AL58" s="357"/>
    </row>
    <row r="59" spans="2:38" x14ac:dyDescent="0.2">
      <c r="R59" s="358"/>
      <c r="S59" s="375"/>
      <c r="T59" s="357"/>
      <c r="U59" s="357"/>
      <c r="V59" s="357"/>
      <c r="W59" s="357"/>
      <c r="X59" s="357"/>
      <c r="Y59" s="357"/>
      <c r="Z59" s="357"/>
      <c r="AA59" s="357"/>
      <c r="AB59" s="357"/>
      <c r="AC59" s="357"/>
      <c r="AD59" s="357"/>
      <c r="AE59" s="357"/>
      <c r="AF59" s="357"/>
      <c r="AG59" s="357"/>
      <c r="AH59" s="357"/>
      <c r="AI59" s="357"/>
      <c r="AJ59" s="357"/>
      <c r="AK59" s="357"/>
      <c r="AL59" s="357"/>
    </row>
    <row r="60" spans="2:38" x14ac:dyDescent="0.2">
      <c r="R60" s="358"/>
      <c r="S60" s="375"/>
      <c r="T60" s="357"/>
      <c r="U60" s="357"/>
      <c r="V60" s="357"/>
      <c r="W60" s="357"/>
      <c r="X60" s="357"/>
      <c r="Y60" s="357"/>
      <c r="Z60" s="357"/>
      <c r="AA60" s="357"/>
      <c r="AB60" s="357"/>
      <c r="AC60" s="357"/>
      <c r="AD60" s="357"/>
      <c r="AE60" s="357"/>
      <c r="AF60" s="357"/>
      <c r="AG60" s="357"/>
      <c r="AH60" s="357"/>
      <c r="AI60" s="357"/>
      <c r="AJ60" s="357"/>
      <c r="AK60" s="357"/>
      <c r="AL60" s="357"/>
    </row>
    <row r="61" spans="2:38" x14ac:dyDescent="0.2">
      <c r="R61" s="358"/>
      <c r="S61" s="375"/>
      <c r="T61" s="357"/>
      <c r="U61" s="357"/>
      <c r="V61" s="357"/>
      <c r="W61" s="357"/>
      <c r="X61" s="357"/>
      <c r="Y61" s="357"/>
      <c r="Z61" s="357"/>
      <c r="AA61" s="357"/>
      <c r="AB61" s="357"/>
      <c r="AC61" s="357"/>
      <c r="AD61" s="357"/>
      <c r="AE61" s="357"/>
      <c r="AF61" s="357"/>
      <c r="AG61" s="357"/>
      <c r="AH61" s="357"/>
      <c r="AI61" s="357"/>
      <c r="AJ61" s="357"/>
      <c r="AK61" s="357"/>
      <c r="AL61" s="357"/>
    </row>
    <row r="62" spans="2:38" x14ac:dyDescent="0.2">
      <c r="R62" s="358"/>
      <c r="S62" s="375"/>
      <c r="T62" s="357"/>
      <c r="U62" s="357"/>
      <c r="V62" s="357"/>
      <c r="W62" s="357"/>
      <c r="X62" s="357"/>
      <c r="Y62" s="357"/>
      <c r="Z62" s="357"/>
      <c r="AA62" s="357"/>
      <c r="AB62" s="357"/>
      <c r="AC62" s="357"/>
      <c r="AD62" s="357"/>
      <c r="AE62" s="357"/>
      <c r="AF62" s="357"/>
      <c r="AG62" s="357"/>
      <c r="AH62" s="357"/>
      <c r="AI62" s="357"/>
      <c r="AJ62" s="357"/>
      <c r="AK62" s="357"/>
      <c r="AL62" s="357"/>
    </row>
    <row r="63" spans="2:38" x14ac:dyDescent="0.2">
      <c r="R63" s="358"/>
      <c r="S63" s="375"/>
      <c r="T63" s="357"/>
      <c r="U63" s="357"/>
      <c r="V63" s="357"/>
      <c r="W63" s="357"/>
      <c r="X63" s="357"/>
      <c r="Y63" s="357"/>
      <c r="Z63" s="357"/>
      <c r="AA63" s="357"/>
      <c r="AB63" s="357"/>
      <c r="AC63" s="357"/>
      <c r="AD63" s="357"/>
      <c r="AE63" s="357"/>
      <c r="AF63" s="357"/>
      <c r="AG63" s="357"/>
      <c r="AH63" s="357"/>
      <c r="AI63" s="357"/>
      <c r="AJ63" s="357"/>
      <c r="AK63" s="357"/>
      <c r="AL63" s="357"/>
    </row>
    <row r="64" spans="2:38" x14ac:dyDescent="0.2">
      <c r="R64" s="358"/>
      <c r="S64" s="375"/>
      <c r="T64" s="357"/>
      <c r="U64" s="357"/>
      <c r="V64" s="357"/>
      <c r="W64" s="357"/>
      <c r="X64" s="357"/>
      <c r="Y64" s="357"/>
      <c r="Z64" s="357"/>
      <c r="AA64" s="357"/>
      <c r="AB64" s="357"/>
      <c r="AC64" s="357"/>
      <c r="AD64" s="357"/>
      <c r="AE64" s="357"/>
      <c r="AF64" s="357"/>
      <c r="AG64" s="357"/>
      <c r="AH64" s="357"/>
      <c r="AI64" s="357"/>
      <c r="AJ64" s="357"/>
      <c r="AK64" s="357"/>
      <c r="AL64" s="357"/>
    </row>
    <row r="65" spans="18:38" x14ac:dyDescent="0.2">
      <c r="R65" s="358"/>
      <c r="S65" s="375"/>
      <c r="T65" s="357"/>
      <c r="U65" s="357"/>
      <c r="V65" s="357"/>
      <c r="W65" s="357"/>
      <c r="X65" s="357"/>
      <c r="Y65" s="357"/>
      <c r="Z65" s="357"/>
      <c r="AA65" s="357"/>
      <c r="AB65" s="357"/>
      <c r="AC65" s="357"/>
      <c r="AD65" s="357"/>
      <c r="AE65" s="357"/>
      <c r="AF65" s="357"/>
      <c r="AG65" s="357"/>
      <c r="AH65" s="357"/>
      <c r="AI65" s="357"/>
      <c r="AJ65" s="357"/>
      <c r="AK65" s="357"/>
      <c r="AL65" s="357"/>
    </row>
    <row r="66" spans="18:38" x14ac:dyDescent="0.2">
      <c r="R66" s="358"/>
      <c r="S66" s="375"/>
      <c r="T66" s="357"/>
      <c r="U66" s="357"/>
      <c r="V66" s="357"/>
      <c r="W66" s="357"/>
      <c r="X66" s="357"/>
      <c r="Y66" s="357"/>
      <c r="Z66" s="357"/>
      <c r="AA66" s="357"/>
      <c r="AB66" s="357"/>
      <c r="AC66" s="357"/>
      <c r="AD66" s="357"/>
      <c r="AE66" s="357"/>
      <c r="AF66" s="357"/>
      <c r="AG66" s="357"/>
      <c r="AH66" s="357"/>
      <c r="AI66" s="357"/>
      <c r="AJ66" s="357"/>
      <c r="AK66" s="357"/>
      <c r="AL66" s="357"/>
    </row>
    <row r="67" spans="18:38" x14ac:dyDescent="0.2">
      <c r="R67" s="358"/>
      <c r="S67" s="375"/>
      <c r="T67" s="357"/>
      <c r="U67" s="357"/>
      <c r="V67" s="357"/>
      <c r="W67" s="357"/>
      <c r="X67" s="357"/>
      <c r="Y67" s="357"/>
      <c r="Z67" s="357"/>
      <c r="AA67" s="357"/>
      <c r="AB67" s="357"/>
      <c r="AC67" s="357"/>
      <c r="AD67" s="357"/>
      <c r="AE67" s="357"/>
      <c r="AF67" s="357"/>
      <c r="AG67" s="357"/>
      <c r="AH67" s="357"/>
      <c r="AI67" s="357"/>
      <c r="AJ67" s="357"/>
      <c r="AK67" s="357"/>
      <c r="AL67" s="357"/>
    </row>
    <row r="68" spans="18:38" x14ac:dyDescent="0.2">
      <c r="R68" s="358"/>
      <c r="S68" s="375"/>
      <c r="T68" s="357"/>
      <c r="U68" s="357"/>
      <c r="V68" s="357"/>
      <c r="W68" s="357"/>
      <c r="X68" s="357"/>
      <c r="Y68" s="357"/>
      <c r="Z68" s="357"/>
      <c r="AA68" s="357"/>
      <c r="AB68" s="357"/>
      <c r="AC68" s="357"/>
      <c r="AD68" s="357"/>
      <c r="AE68" s="357"/>
      <c r="AF68" s="357"/>
      <c r="AG68" s="357"/>
      <c r="AH68" s="357"/>
      <c r="AI68" s="357"/>
      <c r="AJ68" s="357"/>
      <c r="AK68" s="357"/>
      <c r="AL68" s="357"/>
    </row>
  </sheetData>
  <sheetProtection password="E398" sheet="1" objects="1" scenarios="1" selectLockedCells="1"/>
  <mergeCells count="50">
    <mergeCell ref="C4:D4"/>
    <mergeCell ref="B1:J1"/>
    <mergeCell ref="C2:F2"/>
    <mergeCell ref="L2:M2"/>
    <mergeCell ref="L3:M3"/>
    <mergeCell ref="D3:F3"/>
    <mergeCell ref="B7:B8"/>
    <mergeCell ref="C7:D8"/>
    <mergeCell ref="F7:G8"/>
    <mergeCell ref="B9:B10"/>
    <mergeCell ref="C9:D10"/>
    <mergeCell ref="F9:G10"/>
    <mergeCell ref="AC9:AD9"/>
    <mergeCell ref="AH9:AI9"/>
    <mergeCell ref="AC10:AD10"/>
    <mergeCell ref="AH10:AI10"/>
    <mergeCell ref="B11:B12"/>
    <mergeCell ref="C11:D12"/>
    <mergeCell ref="F11:G12"/>
    <mergeCell ref="AE11:AE13"/>
    <mergeCell ref="B23:B24"/>
    <mergeCell ref="C23:G24"/>
    <mergeCell ref="AJ11:AJ13"/>
    <mergeCell ref="B13:B14"/>
    <mergeCell ref="C13:D14"/>
    <mergeCell ref="F13:G14"/>
    <mergeCell ref="C15:G15"/>
    <mergeCell ref="AH15:AI15"/>
    <mergeCell ref="D18:E18"/>
    <mergeCell ref="D19:E19"/>
    <mergeCell ref="D20:E20"/>
    <mergeCell ref="D21:E21"/>
    <mergeCell ref="D31:F31"/>
    <mergeCell ref="C16:G16"/>
    <mergeCell ref="C25:G25"/>
    <mergeCell ref="C26:G26"/>
    <mergeCell ref="C27:G27"/>
    <mergeCell ref="D30:F30"/>
    <mergeCell ref="G30:J30"/>
    <mergeCell ref="D32:F32"/>
    <mergeCell ref="G32:J32"/>
    <mergeCell ref="AC33:AD33"/>
    <mergeCell ref="AH33:AI33"/>
    <mergeCell ref="AC34:AD34"/>
    <mergeCell ref="AH34:AI34"/>
    <mergeCell ref="K52:K54"/>
    <mergeCell ref="L52:O54"/>
    <mergeCell ref="AE35:AE37"/>
    <mergeCell ref="AJ35:AJ37"/>
    <mergeCell ref="AH39:AI39"/>
  </mergeCells>
  <conditionalFormatting sqref="K27 K33:K34 K29 K31">
    <cfRule type="expression" dxfId="81" priority="64" stopIfTrue="1">
      <formula>C9=""</formula>
    </cfRule>
  </conditionalFormatting>
  <conditionalFormatting sqref="K26 K28 K30 K32">
    <cfRule type="expression" dxfId="80" priority="65" stopIfTrue="1">
      <formula>F7=""</formula>
    </cfRule>
  </conditionalFormatting>
  <conditionalFormatting sqref="B32">
    <cfRule type="expression" dxfId="79" priority="69" stopIfTrue="1">
      <formula>D31&gt;D30</formula>
    </cfRule>
  </conditionalFormatting>
  <conditionalFormatting sqref="D32:F32">
    <cfRule type="expression" dxfId="78" priority="70" stopIfTrue="1">
      <formula>D31&gt;D30</formula>
    </cfRule>
  </conditionalFormatting>
  <conditionalFormatting sqref="K3">
    <cfRule type="expression" dxfId="77" priority="72" stopIfTrue="1">
      <formula>D3=""</formula>
    </cfRule>
  </conditionalFormatting>
  <conditionalFormatting sqref="L2">
    <cfRule type="expression" dxfId="76" priority="73" stopIfTrue="1">
      <formula>D3=""</formula>
    </cfRule>
  </conditionalFormatting>
  <conditionalFormatting sqref="N2">
    <cfRule type="expression" dxfId="75" priority="74" stopIfTrue="1">
      <formula>D3=""</formula>
    </cfRule>
  </conditionalFormatting>
  <conditionalFormatting sqref="N3">
    <cfRule type="expression" dxfId="74" priority="75" stopIfTrue="1">
      <formula>D3=""</formula>
    </cfRule>
  </conditionalFormatting>
  <conditionalFormatting sqref="K2">
    <cfRule type="expression" dxfId="73" priority="77" stopIfTrue="1">
      <formula>AND(D3="",C2="")</formula>
    </cfRule>
  </conditionalFormatting>
  <conditionalFormatting sqref="C25:H25">
    <cfRule type="cellIs" dxfId="72" priority="79" stopIfTrue="1" operator="notEqual">
      <formula>""</formula>
    </cfRule>
  </conditionalFormatting>
  <conditionalFormatting sqref="C26:H26">
    <cfRule type="cellIs" dxfId="71" priority="80" stopIfTrue="1" operator="notEqual">
      <formula>""</formula>
    </cfRule>
  </conditionalFormatting>
  <conditionalFormatting sqref="T8:T10 T18 T36:T37 T51:T57">
    <cfRule type="cellIs" dxfId="70" priority="82" stopIfTrue="1" operator="notEqual">
      <formula>""</formula>
    </cfRule>
  </conditionalFormatting>
  <conditionalFormatting sqref="L5">
    <cfRule type="expression" dxfId="69" priority="84" stopIfTrue="1">
      <formula>expired=TRUE</formula>
    </cfRule>
  </conditionalFormatting>
  <conditionalFormatting sqref="B1:J1 G2:H2 J2">
    <cfRule type="expression" dxfId="68" priority="85" stopIfTrue="1">
      <formula>expired=TRUE</formula>
    </cfRule>
    <cfRule type="expression" dxfId="67" priority="86" stopIfTrue="1">
      <formula>old_ver=TRUE</formula>
    </cfRule>
  </conditionalFormatting>
  <conditionalFormatting sqref="V42:V43">
    <cfRule type="expression" dxfId="66" priority="63" stopIfTrue="1">
      <formula>U42=""</formula>
    </cfRule>
  </conditionalFormatting>
  <conditionalFormatting sqref="U12:U15">
    <cfRule type="expression" dxfId="65" priority="60" stopIfTrue="1">
      <formula>U12=""</formula>
    </cfRule>
  </conditionalFormatting>
  <conditionalFormatting sqref="U42:U44">
    <cfRule type="expression" dxfId="64" priority="57" stopIfTrue="1">
      <formula>U42=""</formula>
    </cfRule>
  </conditionalFormatting>
  <conditionalFormatting sqref="B23">
    <cfRule type="expression" dxfId="63" priority="90" stopIfTrue="1">
      <formula>T9&lt;&gt;"OK"</formula>
    </cfRule>
    <cfRule type="expression" dxfId="62" priority="91" stopIfTrue="1">
      <formula>T10&lt;&gt;"OK"</formula>
    </cfRule>
  </conditionalFormatting>
  <conditionalFormatting sqref="D18">
    <cfRule type="expression" dxfId="61" priority="92" stopIfTrue="1">
      <formula>T18&lt;&gt;"OK"</formula>
    </cfRule>
  </conditionalFormatting>
  <conditionalFormatting sqref="X21">
    <cfRule type="expression" dxfId="60" priority="54" stopIfTrue="1">
      <formula>V21=""</formula>
    </cfRule>
  </conditionalFormatting>
  <conditionalFormatting sqref="X18:X19">
    <cfRule type="expression" dxfId="59" priority="53" stopIfTrue="1">
      <formula>V18=""</formula>
    </cfRule>
  </conditionalFormatting>
  <conditionalFormatting sqref="T38">
    <cfRule type="cellIs" dxfId="58" priority="52" stopIfTrue="1" operator="notEqual">
      <formula>""</formula>
    </cfRule>
  </conditionalFormatting>
  <conditionalFormatting sqref="F15:G15">
    <cfRule type="expression" dxfId="57" priority="105" stopIfTrue="1">
      <formula>F15&gt;Z54</formula>
    </cfRule>
  </conditionalFormatting>
  <conditionalFormatting sqref="F16">
    <cfRule type="expression" dxfId="56" priority="106" stopIfTrue="1">
      <formula>F16&gt;Z42</formula>
    </cfRule>
  </conditionalFormatting>
  <conditionalFormatting sqref="D15:E16">
    <cfRule type="expression" dxfId="55" priority="112" stopIfTrue="1">
      <formula>D15&gt;#REF!</formula>
    </cfRule>
  </conditionalFormatting>
  <conditionalFormatting sqref="L17">
    <cfRule type="expression" dxfId="54" priority="115" stopIfTrue="1">
      <formula>AC17="out"</formula>
    </cfRule>
  </conditionalFormatting>
  <conditionalFormatting sqref="M18">
    <cfRule type="expression" dxfId="53" priority="116" stopIfTrue="1">
      <formula>AG17="out"</formula>
    </cfRule>
  </conditionalFormatting>
  <conditionalFormatting sqref="O18">
    <cfRule type="expression" dxfId="52" priority="117" stopIfTrue="1">
      <formula>AG17="out"</formula>
    </cfRule>
  </conditionalFormatting>
  <conditionalFormatting sqref="D23:E24">
    <cfRule type="expression" dxfId="51" priority="118" stopIfTrue="1">
      <formula>OR(AD17="out",#REF!="out")</formula>
    </cfRule>
  </conditionalFormatting>
  <conditionalFormatting sqref="F23:H24">
    <cfRule type="expression" dxfId="50" priority="119" stopIfTrue="1">
      <formula>OR(AF17="out",AH17="out")</formula>
    </cfRule>
  </conditionalFormatting>
  <conditionalFormatting sqref="C23:C24">
    <cfRule type="expression" dxfId="49" priority="120" stopIfTrue="1">
      <formula>OR(AC17="out",AG17="out")</formula>
    </cfRule>
  </conditionalFormatting>
  <conditionalFormatting sqref="G16">
    <cfRule type="expression" dxfId="48" priority="121" stopIfTrue="1">
      <formula>G16&gt;AA41</formula>
    </cfRule>
  </conditionalFormatting>
  <conditionalFormatting sqref="L20">
    <cfRule type="expression" dxfId="47" priority="122" stopIfTrue="1">
      <formula>AC41="out"</formula>
    </cfRule>
  </conditionalFormatting>
  <conditionalFormatting sqref="M21">
    <cfRule type="expression" dxfId="46" priority="123" stopIfTrue="1">
      <formula>AG41="OUT"</formula>
    </cfRule>
  </conditionalFormatting>
  <conditionalFormatting sqref="U21">
    <cfRule type="expression" dxfId="45" priority="50" stopIfTrue="1">
      <formula>V21=""</formula>
    </cfRule>
  </conditionalFormatting>
  <conditionalFormatting sqref="U22:U23">
    <cfRule type="expression" dxfId="44" priority="49" stopIfTrue="1">
      <formula>U22=""</formula>
    </cfRule>
  </conditionalFormatting>
  <conditionalFormatting sqref="U20">
    <cfRule type="expression" dxfId="43" priority="47">
      <formula>AND(OR(V20="",LEFT(V20,1)="F"),V18&lt;&gt;V19)</formula>
    </cfRule>
    <cfRule type="expression" dxfId="42" priority="48">
      <formula>AND(LEFT(V20,1)&lt;&gt;"F",V18=V19)</formula>
    </cfRule>
  </conditionalFormatting>
  <conditionalFormatting sqref="T20">
    <cfRule type="cellIs" dxfId="41" priority="46" stopIfTrue="1" operator="notEqual">
      <formula>""</formula>
    </cfRule>
  </conditionalFormatting>
  <conditionalFormatting sqref="X20">
    <cfRule type="expression" dxfId="40" priority="45" stopIfTrue="1">
      <formula>V20=""</formula>
    </cfRule>
  </conditionalFormatting>
  <conditionalFormatting sqref="W42:W44">
    <cfRule type="expression" dxfId="39" priority="1310" stopIfTrue="1">
      <formula>#REF!=""</formula>
    </cfRule>
  </conditionalFormatting>
  <conditionalFormatting sqref="D27:E27">
    <cfRule type="expression" dxfId="38" priority="1311" stopIfTrue="1">
      <formula>#REF!&lt;&gt;"OK"</formula>
    </cfRule>
  </conditionalFormatting>
  <conditionalFormatting sqref="F27">
    <cfRule type="expression" dxfId="37" priority="1316" stopIfTrue="1">
      <formula>#REF!&lt;&gt;"OK"</formula>
    </cfRule>
  </conditionalFormatting>
  <conditionalFormatting sqref="G27:H27">
    <cfRule type="expression" dxfId="36" priority="1318" stopIfTrue="1">
      <formula>#REF!&lt;&gt;"OK"</formula>
    </cfRule>
  </conditionalFormatting>
  <conditionalFormatting sqref="T58">
    <cfRule type="cellIs" dxfId="35" priority="44" stopIfTrue="1" operator="notEqual">
      <formula>""</formula>
    </cfRule>
  </conditionalFormatting>
  <conditionalFormatting sqref="B25 B27">
    <cfRule type="cellIs" dxfId="34" priority="41" stopIfTrue="1" operator="notEqual">
      <formula>""</formula>
    </cfRule>
  </conditionalFormatting>
  <conditionalFormatting sqref="B26">
    <cfRule type="cellIs" dxfId="33" priority="42" stopIfTrue="1" operator="notEqual">
      <formula>""</formula>
    </cfRule>
  </conditionalFormatting>
  <conditionalFormatting sqref="O17">
    <cfRule type="expression" dxfId="32" priority="40" stopIfTrue="1">
      <formula>L17&gt;W9</formula>
    </cfRule>
  </conditionalFormatting>
  <conditionalFormatting sqref="T11">
    <cfRule type="cellIs" dxfId="31" priority="39" stopIfTrue="1" operator="notEqual">
      <formula>""</formula>
    </cfRule>
  </conditionalFormatting>
  <conditionalFormatting sqref="C27">
    <cfRule type="expression" dxfId="30" priority="1341" stopIfTrue="1">
      <formula>T51&lt;&gt;"OK"</formula>
    </cfRule>
  </conditionalFormatting>
  <conditionalFormatting sqref="D21">
    <cfRule type="expression" dxfId="29" priority="1342" stopIfTrue="1">
      <formula>T56&lt;&gt;"OK"</formula>
    </cfRule>
  </conditionalFormatting>
  <conditionalFormatting sqref="B21">
    <cfRule type="expression" dxfId="28" priority="1343" stopIfTrue="1">
      <formula>T56&lt;&gt;"OK"</formula>
    </cfRule>
  </conditionalFormatting>
  <conditionalFormatting sqref="D22:E22">
    <cfRule type="expression" dxfId="27" priority="1344" stopIfTrue="1">
      <formula>T58&lt;&gt;"ok"</formula>
    </cfRule>
  </conditionalFormatting>
  <conditionalFormatting sqref="C15:C16">
    <cfRule type="expression" dxfId="26" priority="1345" stopIfTrue="1">
      <formula>C15&gt;X36</formula>
    </cfRule>
  </conditionalFormatting>
  <conditionalFormatting sqref="B24">
    <cfRule type="expression" dxfId="25" priority="1346" stopIfTrue="1">
      <formula>T10&lt;&gt;"OK"</formula>
    </cfRule>
    <cfRule type="expression" dxfId="24" priority="1347" stopIfTrue="1">
      <formula>T36&lt;&gt;"OK"</formula>
    </cfRule>
  </conditionalFormatting>
  <conditionalFormatting sqref="G32:H32">
    <cfRule type="expression" dxfId="23" priority="1351" stopIfTrue="1">
      <formula>D31&gt;D30</formula>
    </cfRule>
  </conditionalFormatting>
  <conditionalFormatting sqref="L3:M3">
    <cfRule type="expression" dxfId="22" priority="1352" stopIfTrue="1">
      <formula>D3=""</formula>
    </cfRule>
  </conditionalFormatting>
  <conditionalFormatting sqref="I32:J32">
    <cfRule type="expression" dxfId="21" priority="1360" stopIfTrue="1">
      <formula>E31&gt;E30</formula>
    </cfRule>
  </conditionalFormatting>
  <conditionalFormatting sqref="E7">
    <cfRule type="expression" dxfId="20" priority="36">
      <formula>E7=0</formula>
    </cfRule>
  </conditionalFormatting>
  <conditionalFormatting sqref="E9">
    <cfRule type="expression" dxfId="19" priority="32">
      <formula>E9=0</formula>
    </cfRule>
  </conditionalFormatting>
  <conditionalFormatting sqref="E11">
    <cfRule type="expression" dxfId="18" priority="31">
      <formula>E11=0</formula>
    </cfRule>
  </conditionalFormatting>
  <conditionalFormatting sqref="E13">
    <cfRule type="expression" dxfId="17" priority="30">
      <formula>E13=0</formula>
    </cfRule>
  </conditionalFormatting>
  <conditionalFormatting sqref="D5">
    <cfRule type="expression" dxfId="16" priority="29">
      <formula>SUM(W31:W34)&gt;0</formula>
    </cfRule>
  </conditionalFormatting>
  <conditionalFormatting sqref="W31:W32">
    <cfRule type="expression" dxfId="15" priority="28" stopIfTrue="1">
      <formula>U31=""</formula>
    </cfRule>
  </conditionalFormatting>
  <conditionalFormatting sqref="W33">
    <cfRule type="expression" dxfId="14" priority="1361" stopIfTrue="1">
      <formula>U34=""</formula>
    </cfRule>
  </conditionalFormatting>
  <conditionalFormatting sqref="W34">
    <cfRule type="expression" dxfId="13" priority="27" stopIfTrue="1">
      <formula>U34=""</formula>
    </cfRule>
  </conditionalFormatting>
  <conditionalFormatting sqref="U19">
    <cfRule type="expression" dxfId="12" priority="26" stopIfTrue="1">
      <formula>#REF!=""</formula>
    </cfRule>
  </conditionalFormatting>
  <conditionalFormatting sqref="H7">
    <cfRule type="expression" dxfId="11" priority="12">
      <formula>H7=0</formula>
    </cfRule>
  </conditionalFormatting>
  <conditionalFormatting sqref="H9">
    <cfRule type="expression" dxfId="10" priority="11">
      <formula>H9=0</formula>
    </cfRule>
  </conditionalFormatting>
  <conditionalFormatting sqref="H11">
    <cfRule type="expression" dxfId="9" priority="10">
      <formula>H11=0</formula>
    </cfRule>
  </conditionalFormatting>
  <conditionalFormatting sqref="H13">
    <cfRule type="expression" dxfId="8" priority="9">
      <formula>H13=0</formula>
    </cfRule>
  </conditionalFormatting>
  <conditionalFormatting sqref="C7:D8">
    <cfRule type="expression" dxfId="7" priority="8">
      <formula>T51&lt;&gt;"OK"</formula>
    </cfRule>
  </conditionalFormatting>
  <conditionalFormatting sqref="C9:D10">
    <cfRule type="expression" dxfId="6" priority="7">
      <formula>E10=TRUE</formula>
    </cfRule>
  </conditionalFormatting>
  <conditionalFormatting sqref="C11:D12">
    <cfRule type="expression" dxfId="5" priority="6">
      <formula>E12=TRUE</formula>
    </cfRule>
  </conditionalFormatting>
  <conditionalFormatting sqref="C13:D14">
    <cfRule type="expression" dxfId="4" priority="5">
      <formula>E14=TRUE</formula>
    </cfRule>
  </conditionalFormatting>
  <conditionalFormatting sqref="F7:G8">
    <cfRule type="expression" dxfId="3" priority="4">
      <formula>H8=TRUE</formula>
    </cfRule>
  </conditionalFormatting>
  <conditionalFormatting sqref="F9:G10">
    <cfRule type="expression" dxfId="2" priority="3">
      <formula>H10=TRUE</formula>
    </cfRule>
  </conditionalFormatting>
  <conditionalFormatting sqref="F11:G12">
    <cfRule type="expression" dxfId="1" priority="2">
      <formula>H12=TRUE</formula>
    </cfRule>
  </conditionalFormatting>
  <conditionalFormatting sqref="F13:G14">
    <cfRule type="expression" dxfId="0" priority="1">
      <formula>H14=TRUE</formula>
    </cfRule>
  </conditionalFormatting>
  <dataValidations count="3">
    <dataValidation type="custom" allowBlank="1" showInputMessage="1" showErrorMessage="1" errorTitle="Input Error" error="Entry must be a NUMERIC VALUE!" sqref="F7:G16 C7:D16 E15:E16 D18:D20" xr:uid="{00000000-0002-0000-0F00-000000000000}">
      <formula1>ISNUMBER(C7)</formula1>
    </dataValidation>
    <dataValidation type="date" allowBlank="1" showInputMessage="1" showErrorMessage="1" errorTitle="Input Error" error="A valid date must be entered into this cell._x000a_" sqref="C2:F2" xr:uid="{00000000-0002-0000-0F00-000001000000}">
      <formula1>36526</formula1>
      <formula2>44196</formula2>
    </dataValidation>
    <dataValidation type="list" showInputMessage="1" showErrorMessage="1" errorTitle="STANDARD FUELING LEVEL" error="STANDARD FUELING LEVEL MUST BE ENTERED:_x000a_TABS,_x000a_Measured,_x000a_FULL" sqref="V20" xr:uid="{00000000-0002-0000-0F00-000002000000}">
      <formula1>"TABS,Measured,FULL"</formula1>
    </dataValidation>
  </dataValidations>
  <printOptions horizontalCentered="1"/>
  <pageMargins left="0.75" right="0.5" top="0.5" bottom="0.5" header="0.5" footer="0.5"/>
  <pageSetup scale="95" orientation="portrait" r:id="rId1"/>
  <headerFooter alignWithMargins="0">
    <oddFooter>&amp;L&amp;F &amp;A&amp;RPrinted: &amp;D      Page &amp;P of &amp;N</oddFooter>
  </headerFooter>
  <drawing r:id="rId2"/>
  <legacyDrawing r:id="rId3"/>
  <controls>
    <mc:AlternateContent xmlns:mc="http://schemas.openxmlformats.org/markup-compatibility/2006">
      <mc:Choice Requires="x14">
        <control shapeId="1205261" r:id="rId4" name="CheckBox8">
          <controlPr defaultSize="0" autoLine="0" linkedCell="E14" r:id="rId5">
            <anchor moveWithCells="1">
              <from>
                <xdr:col>4</xdr:col>
                <xdr:colOff>9525</xdr:colOff>
                <xdr:row>12</xdr:row>
                <xdr:rowOff>180975</xdr:rowOff>
              </from>
              <to>
                <xdr:col>4</xdr:col>
                <xdr:colOff>171450</xdr:colOff>
                <xdr:row>13</xdr:row>
                <xdr:rowOff>152400</xdr:rowOff>
              </to>
            </anchor>
          </controlPr>
        </control>
      </mc:Choice>
      <mc:Fallback>
        <control shapeId="1205261" r:id="rId4" name="CheckBox8"/>
      </mc:Fallback>
    </mc:AlternateContent>
    <mc:AlternateContent xmlns:mc="http://schemas.openxmlformats.org/markup-compatibility/2006">
      <mc:Choice Requires="x14">
        <control shapeId="1205260" r:id="rId6" name="CheckBox7">
          <controlPr defaultSize="0" autoLine="0" linkedCell="E12" r:id="rId7">
            <anchor moveWithCells="1">
              <from>
                <xdr:col>4</xdr:col>
                <xdr:colOff>9525</xdr:colOff>
                <xdr:row>11</xdr:row>
                <xdr:rowOff>9525</xdr:rowOff>
              </from>
              <to>
                <xdr:col>4</xdr:col>
                <xdr:colOff>171450</xdr:colOff>
                <xdr:row>11</xdr:row>
                <xdr:rowOff>171450</xdr:rowOff>
              </to>
            </anchor>
          </controlPr>
        </control>
      </mc:Choice>
      <mc:Fallback>
        <control shapeId="1205260" r:id="rId6" name="CheckBox7"/>
      </mc:Fallback>
    </mc:AlternateContent>
    <mc:AlternateContent xmlns:mc="http://schemas.openxmlformats.org/markup-compatibility/2006">
      <mc:Choice Requires="x14">
        <control shapeId="1205259" r:id="rId8" name="CheckBox6">
          <controlPr defaultSize="0" autoLine="0" linkedCell="E10" r:id="rId9">
            <anchor moveWithCells="1">
              <from>
                <xdr:col>4</xdr:col>
                <xdr:colOff>19050</xdr:colOff>
                <xdr:row>9</xdr:row>
                <xdr:rowOff>19050</xdr:rowOff>
              </from>
              <to>
                <xdr:col>4</xdr:col>
                <xdr:colOff>180975</xdr:colOff>
                <xdr:row>9</xdr:row>
                <xdr:rowOff>180975</xdr:rowOff>
              </to>
            </anchor>
          </controlPr>
        </control>
      </mc:Choice>
      <mc:Fallback>
        <control shapeId="1205259" r:id="rId8" name="CheckBox6"/>
      </mc:Fallback>
    </mc:AlternateContent>
    <mc:AlternateContent xmlns:mc="http://schemas.openxmlformats.org/markup-compatibility/2006">
      <mc:Choice Requires="x14">
        <control shapeId="1205258" r:id="rId10" name="CheckBox5">
          <controlPr defaultSize="0" autoLine="0" linkedCell="H14" r:id="rId11">
            <anchor moveWithCells="1">
              <from>
                <xdr:col>7</xdr:col>
                <xdr:colOff>19050</xdr:colOff>
                <xdr:row>13</xdr:row>
                <xdr:rowOff>0</xdr:rowOff>
              </from>
              <to>
                <xdr:col>7</xdr:col>
                <xdr:colOff>180975</xdr:colOff>
                <xdr:row>13</xdr:row>
                <xdr:rowOff>161925</xdr:rowOff>
              </to>
            </anchor>
          </controlPr>
        </control>
      </mc:Choice>
      <mc:Fallback>
        <control shapeId="1205258" r:id="rId10" name="CheckBox5"/>
      </mc:Fallback>
    </mc:AlternateContent>
    <mc:AlternateContent xmlns:mc="http://schemas.openxmlformats.org/markup-compatibility/2006">
      <mc:Choice Requires="x14">
        <control shapeId="1205257" r:id="rId12" name="CheckBox4">
          <controlPr defaultSize="0" autoLine="0" linkedCell="H12" r:id="rId13">
            <anchor moveWithCells="1">
              <from>
                <xdr:col>7</xdr:col>
                <xdr:colOff>19050</xdr:colOff>
                <xdr:row>10</xdr:row>
                <xdr:rowOff>180975</xdr:rowOff>
              </from>
              <to>
                <xdr:col>7</xdr:col>
                <xdr:colOff>180975</xdr:colOff>
                <xdr:row>11</xdr:row>
                <xdr:rowOff>152400</xdr:rowOff>
              </to>
            </anchor>
          </controlPr>
        </control>
      </mc:Choice>
      <mc:Fallback>
        <control shapeId="1205257" r:id="rId12" name="CheckBox4"/>
      </mc:Fallback>
    </mc:AlternateContent>
    <mc:AlternateContent xmlns:mc="http://schemas.openxmlformats.org/markup-compatibility/2006">
      <mc:Choice Requires="x14">
        <control shapeId="1205256" r:id="rId14" name="CheckBox3">
          <controlPr defaultSize="0" autoLine="0" linkedCell="H10" r:id="rId15">
            <anchor moveWithCells="1">
              <from>
                <xdr:col>7</xdr:col>
                <xdr:colOff>19050</xdr:colOff>
                <xdr:row>9</xdr:row>
                <xdr:rowOff>19050</xdr:rowOff>
              </from>
              <to>
                <xdr:col>7</xdr:col>
                <xdr:colOff>180975</xdr:colOff>
                <xdr:row>9</xdr:row>
                <xdr:rowOff>180975</xdr:rowOff>
              </to>
            </anchor>
          </controlPr>
        </control>
      </mc:Choice>
      <mc:Fallback>
        <control shapeId="1205256" r:id="rId14" name="CheckBox3"/>
      </mc:Fallback>
    </mc:AlternateContent>
    <mc:AlternateContent xmlns:mc="http://schemas.openxmlformats.org/markup-compatibility/2006">
      <mc:Choice Requires="x14">
        <control shapeId="1205255" r:id="rId16" name="CheckBox2">
          <controlPr defaultSize="0" autoLine="0" linkedCell="H8" r:id="rId17">
            <anchor moveWithCells="1">
              <from>
                <xdr:col>7</xdr:col>
                <xdr:colOff>28575</xdr:colOff>
                <xdr:row>7</xdr:row>
                <xdr:rowOff>19050</xdr:rowOff>
              </from>
              <to>
                <xdr:col>7</xdr:col>
                <xdr:colOff>190500</xdr:colOff>
                <xdr:row>7</xdr:row>
                <xdr:rowOff>180975</xdr:rowOff>
              </to>
            </anchor>
          </controlPr>
        </control>
      </mc:Choice>
      <mc:Fallback>
        <control shapeId="1205255" r:id="rId16" name="CheckBox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FD4F9-8846-4601-BA66-F5DBD90F2FD5}">
  <sheetPr codeName="Sheet17">
    <tabColor indexed="61"/>
    <pageSetUpPr fitToPage="1"/>
  </sheetPr>
  <dimension ref="B1:AJ59"/>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5" width="4.7109375" hidden="1" customWidth="1"/>
    <col min="16" max="16" width="11.7109375" style="41" hidden="1" customWidth="1"/>
    <col min="17" max="17" width="9.7109375" style="41" hidden="1" customWidth="1"/>
    <col min="18" max="18" width="8.42578125" style="41" hidden="1" customWidth="1"/>
    <col min="19" max="19" width="19" style="41" hidden="1" customWidth="1"/>
    <col min="20" max="22" width="7.7109375" style="41" hidden="1" customWidth="1"/>
    <col min="23" max="23" width="29.42578125" style="41" hidden="1" customWidth="1"/>
    <col min="24" max="24" width="4.7109375" style="41" hidden="1" customWidth="1"/>
    <col min="25" max="25" width="3.5703125" style="41" hidden="1" customWidth="1"/>
    <col min="26" max="33" width="9.140625" style="41" hidden="1" customWidth="1"/>
    <col min="34" max="34" width="9.5703125" style="41" hidden="1" customWidth="1"/>
    <col min="35" max="36" width="9" hidden="1" customWidth="1"/>
    <col min="37" max="37" width="8.140625" customWidth="1"/>
  </cols>
  <sheetData>
    <row r="1" spans="2:36" ht="22.5" customHeight="1" thickBot="1" x14ac:dyDescent="0.25">
      <c r="B1" s="807" t="str">
        <f ca="1">status_msg</f>
        <v/>
      </c>
      <c r="C1" s="807"/>
      <c r="D1" s="807"/>
      <c r="E1" s="807"/>
      <c r="F1" s="807"/>
      <c r="G1" s="807"/>
      <c r="H1" s="807"/>
      <c r="I1" s="303" t="str">
        <f>Q1</f>
        <v>CAP 920</v>
      </c>
      <c r="J1" s="303" t="str">
        <f>R1</f>
        <v>N426CP</v>
      </c>
      <c r="K1" s="304"/>
      <c r="L1" s="301" t="str">
        <f>S1</f>
        <v xml:space="preserve">(180hp C 172S) </v>
      </c>
      <c r="M1" s="302"/>
      <c r="P1" s="354" t="s">
        <v>178</v>
      </c>
      <c r="Q1" s="355" t="s">
        <v>262</v>
      </c>
      <c r="R1" s="355" t="s">
        <v>263</v>
      </c>
      <c r="S1" s="356" t="s">
        <v>281</v>
      </c>
      <c r="T1" s="356"/>
      <c r="U1" s="357"/>
      <c r="V1" s="357"/>
      <c r="W1" s="357"/>
      <c r="X1" s="357"/>
      <c r="Y1" s="357"/>
      <c r="Z1" s="357"/>
      <c r="AA1" s="357"/>
      <c r="AB1" s="357"/>
      <c r="AC1" s="357"/>
      <c r="AD1" s="357"/>
      <c r="AE1" s="357"/>
      <c r="AF1" s="357"/>
      <c r="AG1" s="357"/>
      <c r="AH1" s="357"/>
      <c r="AI1" s="237"/>
      <c r="AJ1" s="237"/>
    </row>
    <row r="2" spans="2:36" ht="15" customHeight="1" thickTop="1" thickBot="1" x14ac:dyDescent="0.25">
      <c r="B2" s="137" t="s">
        <v>131</v>
      </c>
      <c r="C2" s="808"/>
      <c r="D2" s="808"/>
      <c r="E2" s="809"/>
      <c r="F2" s="142" t="str">
        <f>IF(D3="","mm/dd/yy","(if not today)")</f>
        <v>mm/dd/yy</v>
      </c>
      <c r="H2" s="523"/>
      <c r="I2" s="138" t="s">
        <v>131</v>
      </c>
      <c r="J2" s="810" t="str">
        <f>IF(C3="","","Mission Symbol")&amp;"   Mission No:"</f>
        <v xml:space="preserve">   Mission No:</v>
      </c>
      <c r="K2" s="810"/>
      <c r="L2" s="702" t="s">
        <v>130</v>
      </c>
      <c r="P2" s="358"/>
      <c r="Q2" s="359" t="s">
        <v>173</v>
      </c>
      <c r="R2" s="359" t="s">
        <v>145</v>
      </c>
      <c r="S2" s="360" t="s">
        <v>172</v>
      </c>
      <c r="T2" s="361"/>
      <c r="U2" s="357"/>
      <c r="V2" s="357"/>
      <c r="W2" s="357"/>
      <c r="X2" s="357"/>
      <c r="Y2" s="357"/>
      <c r="Z2" s="357"/>
      <c r="AA2" s="357"/>
      <c r="AB2" s="357"/>
      <c r="AC2" s="357"/>
      <c r="AD2" s="357"/>
      <c r="AE2" s="357"/>
      <c r="AF2" s="357"/>
      <c r="AG2" s="357"/>
      <c r="AH2" s="357"/>
      <c r="AI2" s="237"/>
      <c r="AJ2" s="237"/>
    </row>
    <row r="3" spans="2:36" ht="15" customHeight="1" thickTop="1" thickBot="1" x14ac:dyDescent="0.25">
      <c r="B3" s="140" t="s">
        <v>137</v>
      </c>
      <c r="C3" s="701"/>
      <c r="D3" s="811"/>
      <c r="E3" s="811"/>
      <c r="F3" s="812"/>
      <c r="I3" s="131" t="str">
        <f ca="1">IF(AND(D3="",C2=""),"",IF(C2="",TODAY(),C2))</f>
        <v/>
      </c>
      <c r="J3" s="813" t="str">
        <f>IF(C3="","",IF(D3="","",C3))&amp;"      "&amp;IF(D3="","",D3)</f>
        <v xml:space="preserve">      </v>
      </c>
      <c r="K3" s="814"/>
      <c r="L3" s="132" t="str">
        <f>IF(C4="","",C4)</f>
        <v/>
      </c>
      <c r="P3" s="362"/>
      <c r="Q3" s="363"/>
      <c r="R3" s="363"/>
      <c r="S3" s="357"/>
      <c r="T3" s="357"/>
      <c r="U3" s="357"/>
      <c r="V3" s="357"/>
      <c r="W3" s="357"/>
      <c r="X3" s="357"/>
      <c r="Y3" s="357"/>
      <c r="Z3" s="364"/>
      <c r="AA3" s="357"/>
      <c r="AB3" s="365"/>
      <c r="AC3" s="357"/>
      <c r="AD3" s="357"/>
      <c r="AE3" s="357"/>
      <c r="AF3" s="357"/>
      <c r="AG3" s="357"/>
      <c r="AH3" s="357"/>
      <c r="AI3" s="237"/>
      <c r="AJ3" s="237"/>
    </row>
    <row r="4" spans="2:36" ht="12" customHeight="1" thickTop="1" x14ac:dyDescent="0.2">
      <c r="B4" s="140" t="s">
        <v>130</v>
      </c>
      <c r="C4" s="805"/>
      <c r="D4" s="806"/>
      <c r="E4" s="140"/>
      <c r="I4" s="703" t="s">
        <v>298</v>
      </c>
      <c r="J4" s="689"/>
      <c r="K4" s="688"/>
      <c r="L4" s="688"/>
      <c r="M4" s="688"/>
      <c r="P4" s="553" t="s">
        <v>222</v>
      </c>
      <c r="Q4" s="366"/>
      <c r="R4" s="366"/>
      <c r="S4" s="357"/>
      <c r="T4" s="367" t="s">
        <v>98</v>
      </c>
      <c r="U4" s="368"/>
      <c r="V4" s="369" t="s">
        <v>99</v>
      </c>
      <c r="W4" s="357"/>
      <c r="X4" s="357"/>
      <c r="Y4" s="357"/>
      <c r="Z4" s="357"/>
      <c r="AA4" s="357"/>
      <c r="AB4" s="357"/>
      <c r="AC4" s="357"/>
      <c r="AD4" s="357"/>
      <c r="AE4" s="357"/>
      <c r="AF4" s="357"/>
      <c r="AG4" s="357"/>
      <c r="AH4" s="357"/>
      <c r="AI4" s="237"/>
      <c r="AJ4" s="237"/>
    </row>
    <row r="5" spans="2:36" ht="12" customHeight="1" x14ac:dyDescent="0.2">
      <c r="I5" s="35"/>
      <c r="J5" s="36"/>
      <c r="K5" s="36"/>
      <c r="L5" s="36"/>
      <c r="M5" s="134" t="str">
        <f>"Release ID:   "&amp;release_nbr&amp;"    "&amp;TEXT(release_date,"dd mmm yYYy  ")</f>
        <v xml:space="preserve">Release ID:   R1    21 Mar 2020  </v>
      </c>
      <c r="P5" s="362"/>
      <c r="Q5" s="357"/>
      <c r="R5" s="357"/>
      <c r="S5" s="357"/>
      <c r="T5" s="357"/>
      <c r="U5" s="357"/>
      <c r="V5" s="357"/>
      <c r="W5" s="357"/>
      <c r="X5" s="357"/>
      <c r="Y5" s="357"/>
      <c r="Z5" s="357"/>
      <c r="AA5" s="357"/>
      <c r="AB5" s="357"/>
      <c r="AC5" s="357"/>
      <c r="AD5" s="357"/>
      <c r="AE5" s="357"/>
      <c r="AF5" s="357"/>
      <c r="AG5" s="357"/>
      <c r="AH5" s="357"/>
      <c r="AI5" s="237"/>
      <c r="AJ5" s="237"/>
    </row>
    <row r="6" spans="2:36" ht="12.75" customHeight="1" thickBot="1" x14ac:dyDescent="0.35">
      <c r="B6" s="3" t="s">
        <v>31</v>
      </c>
      <c r="I6" s="37" t="s">
        <v>0</v>
      </c>
      <c r="J6" s="38" t="s">
        <v>1</v>
      </c>
      <c r="K6" s="38" t="s">
        <v>2</v>
      </c>
      <c r="L6" s="39" t="s">
        <v>97</v>
      </c>
      <c r="M6" s="133" t="s">
        <v>3</v>
      </c>
      <c r="P6" s="362"/>
      <c r="Q6" s="370" t="s">
        <v>120</v>
      </c>
      <c r="R6" s="371"/>
      <c r="S6" s="371"/>
      <c r="T6" s="371"/>
      <c r="U6" s="372" t="s">
        <v>1</v>
      </c>
      <c r="V6" s="372" t="s">
        <v>2</v>
      </c>
      <c r="W6" s="373" t="s">
        <v>179</v>
      </c>
      <c r="X6" s="357"/>
      <c r="Y6" s="357"/>
      <c r="Z6" s="357"/>
      <c r="AA6" s="357"/>
      <c r="AB6" s="374" t="s">
        <v>163</v>
      </c>
      <c r="AC6" s="371"/>
      <c r="AD6" s="371"/>
      <c r="AE6" s="371"/>
      <c r="AF6" s="371"/>
      <c r="AG6" s="371"/>
      <c r="AH6" s="357"/>
      <c r="AI6" s="237"/>
      <c r="AJ6" s="237"/>
    </row>
    <row r="7" spans="2:36" ht="15" customHeight="1" thickTop="1" thickBot="1" x14ac:dyDescent="0.25">
      <c r="B7" s="803" t="s">
        <v>32</v>
      </c>
      <c r="C7" s="802"/>
      <c r="D7" s="804"/>
      <c r="E7" s="802"/>
      <c r="F7" s="800"/>
      <c r="H7" s="1"/>
      <c r="I7" s="13" t="s">
        <v>4</v>
      </c>
      <c r="J7" s="188">
        <f>U7</f>
        <v>1661</v>
      </c>
      <c r="K7" s="67">
        <f>V7</f>
        <v>39.229999999999997</v>
      </c>
      <c r="L7" s="68">
        <f>ROUND(J7*K7/1000,5)</f>
        <v>65.161029999999997</v>
      </c>
      <c r="M7" s="586" t="str">
        <f>IF(W7="","",W7)</f>
        <v>W/B: 03-AUG-2017 Mathew Barnard</v>
      </c>
      <c r="P7" s="362"/>
      <c r="Q7" s="375" t="str">
        <f>"Ln"&amp;ROW()</f>
        <v>Ln7</v>
      </c>
      <c r="R7" s="376"/>
      <c r="S7" s="377" t="s">
        <v>4</v>
      </c>
      <c r="T7" s="378"/>
      <c r="U7" s="379">
        <v>1661</v>
      </c>
      <c r="V7" s="583">
        <v>39.229999999999997</v>
      </c>
      <c r="W7" s="584" t="s">
        <v>292</v>
      </c>
      <c r="X7" s="357"/>
      <c r="Y7" s="357"/>
      <c r="Z7" s="357"/>
      <c r="AA7" s="357"/>
      <c r="AB7" s="357"/>
      <c r="AC7" s="382"/>
      <c r="AD7" s="383" t="s">
        <v>162</v>
      </c>
      <c r="AE7" s="357"/>
      <c r="AF7" s="357"/>
      <c r="AG7" s="357"/>
      <c r="AH7" s="357"/>
      <c r="AI7" s="237"/>
      <c r="AJ7" s="237"/>
    </row>
    <row r="8" spans="2:36" ht="15" customHeight="1" thickTop="1" thickBot="1" x14ac:dyDescent="0.25">
      <c r="B8" s="803"/>
      <c r="C8" s="802"/>
      <c r="D8" s="804"/>
      <c r="E8" s="802"/>
      <c r="F8" s="800"/>
      <c r="H8" s="1"/>
      <c r="I8" s="125" t="s">
        <v>10</v>
      </c>
      <c r="J8" s="189">
        <f>D15*6</f>
        <v>0</v>
      </c>
      <c r="K8" s="69">
        <f>U18</f>
        <v>48</v>
      </c>
      <c r="L8" s="72">
        <f>ROUND((J8*K8)/1000,5)</f>
        <v>0</v>
      </c>
      <c r="M8" s="11" t="str">
        <f>V18&amp;" lbs Max ("&amp;T18&amp;" gals)  "&amp;IF(OR(T18=T19,T19="",T19=0),"",V19&amp;" lbs Tabs ("&amp;T19&amp;" gals)")</f>
        <v>318 lbs Max (53 gals)  210 lbs Tabs (35 gals)</v>
      </c>
      <c r="P8" s="362"/>
      <c r="Q8" s="375" t="str">
        <f t="shared" ref="Q8:Q34" si="0">"Ln"&amp;ROW()</f>
        <v>Ln8</v>
      </c>
      <c r="R8" s="384" t="str">
        <f ca="1">IF(J16&gt;U8,"ERR","OK")</f>
        <v>OK</v>
      </c>
      <c r="S8" s="377" t="s">
        <v>168</v>
      </c>
      <c r="T8" s="378"/>
      <c r="U8" s="385">
        <v>2550</v>
      </c>
      <c r="V8" s="357"/>
      <c r="W8" s="357"/>
      <c r="X8" s="357"/>
      <c r="Y8" s="386"/>
      <c r="Z8" s="387"/>
      <c r="AA8" s="388">
        <v>2550</v>
      </c>
      <c r="AC8" s="624">
        <f>AA8</f>
        <v>2550</v>
      </c>
      <c r="AD8" s="357"/>
      <c r="AF8" s="389">
        <v>41</v>
      </c>
      <c r="AH8" s="390">
        <v>47.3</v>
      </c>
      <c r="AI8" s="237"/>
      <c r="AJ8" s="237"/>
    </row>
    <row r="9" spans="2:36" ht="15" customHeight="1" thickTop="1" thickBot="1" x14ac:dyDescent="0.25">
      <c r="B9" s="803" t="s">
        <v>33</v>
      </c>
      <c r="C9" s="802"/>
      <c r="D9" s="804"/>
      <c r="E9" s="802"/>
      <c r="F9" s="800"/>
      <c r="H9" s="1"/>
      <c r="I9" s="125" t="s">
        <v>11</v>
      </c>
      <c r="J9" s="189">
        <f>C7+E7</f>
        <v>0</v>
      </c>
      <c r="K9" s="69">
        <f>U26</f>
        <v>37</v>
      </c>
      <c r="L9" s="72">
        <f>ROUND((J9*K9)/1000,5)</f>
        <v>0</v>
      </c>
      <c r="M9" s="11" t="str">
        <f>IF(W26="","",W26)</f>
        <v/>
      </c>
      <c r="P9" s="362"/>
      <c r="Q9" s="375" t="str">
        <f t="shared" si="0"/>
        <v>Ln9</v>
      </c>
      <c r="R9" s="391"/>
      <c r="S9" s="377" t="s">
        <v>169</v>
      </c>
      <c r="T9" s="378"/>
      <c r="U9" s="385">
        <v>2557</v>
      </c>
      <c r="V9" s="392"/>
      <c r="W9" s="393" t="s">
        <v>176</v>
      </c>
      <c r="X9" s="357"/>
      <c r="Y9" s="394"/>
      <c r="Z9" s="395"/>
      <c r="AD9" s="357"/>
      <c r="AI9" s="237"/>
      <c r="AJ9" s="237"/>
    </row>
    <row r="10" spans="2:36" ht="15" customHeight="1" thickTop="1" thickBot="1" x14ac:dyDescent="0.3">
      <c r="B10" s="803"/>
      <c r="C10" s="802"/>
      <c r="D10" s="804"/>
      <c r="E10" s="802"/>
      <c r="F10" s="800"/>
      <c r="H10" s="1"/>
      <c r="I10" s="125" t="s">
        <v>12</v>
      </c>
      <c r="J10" s="189">
        <f>C9+E9</f>
        <v>0</v>
      </c>
      <c r="K10" s="69">
        <f>U27</f>
        <v>73</v>
      </c>
      <c r="L10" s="72">
        <f>ROUND((J10*K10)/1000,5)</f>
        <v>0</v>
      </c>
      <c r="M10" s="11" t="str">
        <f>IF(W27="","",W27)</f>
        <v/>
      </c>
      <c r="P10" s="362"/>
      <c r="Q10" s="375" t="str">
        <f t="shared" si="0"/>
        <v>Ln10</v>
      </c>
      <c r="R10" s="384" t="str">
        <f>IF(U8=U10,"OK",IF(J20&gt;U10,"WARN","OK"))</f>
        <v>OK</v>
      </c>
      <c r="S10" s="377" t="s">
        <v>170</v>
      </c>
      <c r="T10" s="378"/>
      <c r="U10" s="385">
        <v>2550</v>
      </c>
      <c r="V10" s="392"/>
      <c r="W10" s="393" t="s">
        <v>176</v>
      </c>
      <c r="X10" s="357"/>
      <c r="Y10" s="396" t="s">
        <v>155</v>
      </c>
      <c r="Z10" s="395"/>
      <c r="AD10" s="357"/>
      <c r="AI10" s="237"/>
      <c r="AJ10" s="237"/>
    </row>
    <row r="11" spans="2:36" ht="15" customHeight="1" thickTop="1" thickBot="1" x14ac:dyDescent="0.3">
      <c r="B11" s="6" t="s">
        <v>25</v>
      </c>
      <c r="C11" s="800"/>
      <c r="D11" s="801"/>
      <c r="E11" s="801"/>
      <c r="F11" s="802"/>
      <c r="H11" s="1"/>
      <c r="I11" s="19" t="s">
        <v>13</v>
      </c>
      <c r="J11" s="189">
        <f>C11</f>
        <v>0</v>
      </c>
      <c r="K11" s="69">
        <f>U29</f>
        <v>95</v>
      </c>
      <c r="L11" s="72">
        <f>ROUND((J11*K11)/1000,5)</f>
        <v>0</v>
      </c>
      <c r="M11" s="11" t="str">
        <f>V29&amp;" lbs max ("&amp;V31&amp;" max baggage 1+2)"</f>
        <v>120 lbs max (120 max baggage 1+2)</v>
      </c>
      <c r="P11" s="362"/>
      <c r="Q11" s="375" t="str">
        <f t="shared" si="0"/>
        <v>Ln11</v>
      </c>
      <c r="R11" s="384" t="str">
        <f>IF(U8=U10,"OK",IF(J19&gt;U11,"WARN","OK"))</f>
        <v>OK</v>
      </c>
      <c r="S11" s="397" t="s">
        <v>171</v>
      </c>
      <c r="T11" s="398"/>
      <c r="U11" s="399">
        <f>U10</f>
        <v>2550</v>
      </c>
      <c r="V11" s="357"/>
      <c r="W11" s="357"/>
      <c r="X11" s="357"/>
      <c r="Y11" s="396" t="s">
        <v>50</v>
      </c>
      <c r="Z11" s="395"/>
      <c r="AA11" s="766" t="s">
        <v>1</v>
      </c>
      <c r="AB11" s="766"/>
      <c r="AD11" s="357"/>
      <c r="AF11" s="766" t="s">
        <v>154</v>
      </c>
      <c r="AG11" s="766"/>
      <c r="AI11" s="237"/>
      <c r="AJ11" s="237"/>
    </row>
    <row r="12" spans="2:36" ht="15" customHeight="1" thickTop="1" thickBot="1" x14ac:dyDescent="0.3">
      <c r="B12" s="6" t="s">
        <v>26</v>
      </c>
      <c r="C12" s="800"/>
      <c r="D12" s="801"/>
      <c r="E12" s="801"/>
      <c r="F12" s="802"/>
      <c r="H12" s="1"/>
      <c r="I12" s="19" t="s">
        <v>14</v>
      </c>
      <c r="J12" s="189">
        <f>C12</f>
        <v>0</v>
      </c>
      <c r="K12" s="69">
        <f>U30</f>
        <v>123</v>
      </c>
      <c r="L12" s="72">
        <f>ROUND((J12*K12)/1000,5)</f>
        <v>0</v>
      </c>
      <c r="M12" s="11" t="str">
        <f>V30&amp;" lbs max"</f>
        <v>50 lbs max</v>
      </c>
      <c r="P12" s="362"/>
      <c r="Q12" s="375" t="str">
        <f t="shared" si="0"/>
        <v>Ln12</v>
      </c>
      <c r="R12" s="391"/>
      <c r="S12" s="400" t="s">
        <v>7</v>
      </c>
      <c r="T12" s="391"/>
      <c r="U12" s="391"/>
      <c r="V12" s="392"/>
      <c r="W12" s="393" t="s">
        <v>176</v>
      </c>
      <c r="X12" s="357"/>
      <c r="Y12" s="396" t="s">
        <v>56</v>
      </c>
      <c r="Z12" s="388">
        <v>1948</v>
      </c>
      <c r="AA12" s="766" t="s">
        <v>153</v>
      </c>
      <c r="AB12" s="766"/>
      <c r="AD12" s="357"/>
      <c r="AE12" s="623">
        <f>AE16</f>
        <v>35</v>
      </c>
      <c r="AF12" s="766" t="s">
        <v>153</v>
      </c>
      <c r="AG12" s="766"/>
      <c r="AI12" s="237"/>
      <c r="AJ12" s="237"/>
    </row>
    <row r="13" spans="2:36" ht="15" customHeight="1" thickTop="1" x14ac:dyDescent="0.25">
      <c r="B13" s="6"/>
      <c r="H13" s="1"/>
      <c r="I13" s="185"/>
      <c r="J13" s="187"/>
      <c r="K13" s="26"/>
      <c r="L13" s="92"/>
      <c r="M13" s="186"/>
      <c r="P13" s="362"/>
      <c r="Q13" s="375" t="str">
        <f t="shared" si="0"/>
        <v>Ln13</v>
      </c>
      <c r="R13" s="391"/>
      <c r="S13" s="400" t="s">
        <v>194</v>
      </c>
      <c r="T13" s="391"/>
      <c r="U13" s="391"/>
      <c r="V13" s="392"/>
      <c r="W13" s="393" t="s">
        <v>176</v>
      </c>
      <c r="X13" s="357"/>
      <c r="Y13" s="396" t="s">
        <v>57</v>
      </c>
      <c r="Z13" s="395"/>
      <c r="AC13" s="767" t="s">
        <v>157</v>
      </c>
      <c r="AD13" s="357"/>
      <c r="AH13" s="767" t="s">
        <v>167</v>
      </c>
      <c r="AI13" s="237"/>
      <c r="AJ13" s="237"/>
    </row>
    <row r="14" spans="2:36" ht="15" customHeight="1" thickBot="1" x14ac:dyDescent="0.35">
      <c r="B14" s="3"/>
      <c r="C14" s="235"/>
      <c r="D14" s="2"/>
      <c r="E14" s="2"/>
      <c r="F14" s="40" t="str">
        <f>IF(R20="err","","(Std Fueling "&amp;T19&amp;" gal ("&amp;T20&amp;"))")</f>
        <v>(Std Fueling 35 gal (TABS))</v>
      </c>
      <c r="H14" s="1"/>
      <c r="I14" s="15" t="s">
        <v>6</v>
      </c>
      <c r="J14" s="71">
        <f>SUM(J7:J13)</f>
        <v>1661</v>
      </c>
      <c r="K14" s="26"/>
      <c r="L14" s="70">
        <f>SUM(L7:L13)</f>
        <v>65.161029999999997</v>
      </c>
      <c r="M14" s="11" t="str">
        <f>"Max Ramp Weight: "&amp;TEXT(U9,"#,###")&amp;IF(U8&lt;&gt;U10," - Landing "&amp;TEXT(U10,"#,###"),"")</f>
        <v>Max Ramp Weight: 2,557</v>
      </c>
      <c r="P14" s="362"/>
      <c r="Q14" s="375" t="str">
        <f t="shared" si="0"/>
        <v>Ln14</v>
      </c>
      <c r="R14" s="391"/>
      <c r="S14" s="400" t="s">
        <v>24</v>
      </c>
      <c r="T14" s="391"/>
      <c r="U14" s="391"/>
      <c r="V14" s="392"/>
      <c r="W14" s="393" t="s">
        <v>177</v>
      </c>
      <c r="X14" s="357"/>
      <c r="Y14" s="396" t="s">
        <v>156</v>
      </c>
      <c r="Z14" s="395"/>
      <c r="AC14" s="767"/>
      <c r="AD14" s="357"/>
      <c r="AH14" s="767"/>
      <c r="AI14" s="237"/>
      <c r="AJ14" s="237"/>
    </row>
    <row r="15" spans="2:36" ht="15" customHeight="1" thickTop="1" thickBot="1" x14ac:dyDescent="0.3">
      <c r="B15" s="32" t="s">
        <v>88</v>
      </c>
      <c r="C15" s="4"/>
      <c r="D15" s="793"/>
      <c r="E15" s="793"/>
      <c r="F15" s="5" t="s">
        <v>36</v>
      </c>
      <c r="H15" s="1"/>
      <c r="I15" s="16" t="s">
        <v>15</v>
      </c>
      <c r="J15" s="585">
        <f>V21</f>
        <v>-7</v>
      </c>
      <c r="K15" s="69">
        <f>U18</f>
        <v>48</v>
      </c>
      <c r="L15" s="72">
        <f>ROUND((J15*K15)/1000,5)</f>
        <v>-0.33600000000000002</v>
      </c>
      <c r="M15" s="11" t="s">
        <v>16</v>
      </c>
      <c r="P15" s="362"/>
      <c r="Q15" s="375" t="str">
        <f t="shared" si="0"/>
        <v>Ln15</v>
      </c>
      <c r="R15" s="391"/>
      <c r="S15" s="400" t="s">
        <v>193</v>
      </c>
      <c r="T15" s="391"/>
      <c r="U15" s="391"/>
      <c r="V15" s="392"/>
      <c r="W15" s="393" t="s">
        <v>177</v>
      </c>
      <c r="X15" s="357"/>
      <c r="Y15" s="396" t="s">
        <v>47</v>
      </c>
      <c r="Z15" s="388">
        <v>1500</v>
      </c>
      <c r="AC15" s="792"/>
      <c r="AD15" s="357"/>
      <c r="AH15" s="792"/>
      <c r="AI15" s="237"/>
      <c r="AJ15" s="237"/>
    </row>
    <row r="16" spans="2:36" ht="15" customHeight="1" thickTop="1" thickBot="1" x14ac:dyDescent="0.25">
      <c r="B16" s="32" t="s">
        <v>35</v>
      </c>
      <c r="C16" s="2"/>
      <c r="D16" s="794"/>
      <c r="E16" s="795"/>
      <c r="F16" s="5" t="s">
        <v>108</v>
      </c>
      <c r="H16" s="1"/>
      <c r="I16" s="17" t="s">
        <v>7</v>
      </c>
      <c r="J16" s="126">
        <f ca="1">IF(expired=TRUE,9999,SUM(J14:J15))</f>
        <v>1654</v>
      </c>
      <c r="K16" s="73" t="s">
        <v>5</v>
      </c>
      <c r="L16" s="74">
        <f>SUM(L14:L15)</f>
        <v>64.825029999999998</v>
      </c>
      <c r="M16" s="110" t="str">
        <f>"Max Gross: "&amp;TEXT(U8,"#,##0")&amp;"   Useful Load: "&amp;TEXT(U37,"#,##0")</f>
        <v>Max Gross: 2,550   Useful Load: 889</v>
      </c>
      <c r="P16" s="362"/>
      <c r="Q16" s="401"/>
      <c r="R16" s="401"/>
      <c r="S16" s="401"/>
      <c r="T16" s="401"/>
      <c r="U16" s="401"/>
      <c r="V16" s="401"/>
      <c r="W16" s="401"/>
      <c r="X16" s="357"/>
      <c r="Y16" s="402"/>
      <c r="Z16" s="395"/>
      <c r="AC16" s="403">
        <f>AC8</f>
        <v>2550</v>
      </c>
      <c r="AD16" s="357"/>
      <c r="AE16" s="404">
        <v>35</v>
      </c>
      <c r="AF16" s="82"/>
      <c r="AG16" s="82"/>
      <c r="AH16" s="405">
        <f>AH8</f>
        <v>47.3</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39.192883917775092</v>
      </c>
      <c r="L17" s="75" t="s">
        <v>5</v>
      </c>
      <c r="M17" s="12" t="s">
        <v>9</v>
      </c>
      <c r="P17" s="362"/>
      <c r="Q17" s="370" t="s">
        <v>158</v>
      </c>
      <c r="R17" s="371"/>
      <c r="S17" s="371"/>
      <c r="T17" s="406" t="s">
        <v>174</v>
      </c>
      <c r="U17" s="372" t="s">
        <v>2</v>
      </c>
      <c r="V17" s="372" t="s">
        <v>118</v>
      </c>
      <c r="W17" s="373" t="s">
        <v>179</v>
      </c>
      <c r="X17" s="357"/>
      <c r="Y17" s="407"/>
      <c r="Z17" s="408"/>
      <c r="AD17" s="357"/>
      <c r="AE17" s="409"/>
      <c r="AF17" s="797" t="s">
        <v>161</v>
      </c>
      <c r="AG17" s="797"/>
      <c r="AH17" s="410"/>
      <c r="AI17" s="237"/>
      <c r="AJ17" s="237"/>
    </row>
    <row r="18" spans="2:36" ht="15" customHeight="1" thickTop="1" thickBot="1" x14ac:dyDescent="0.25">
      <c r="B18" s="32" t="s">
        <v>139</v>
      </c>
      <c r="D18" s="798">
        <f>D16*D17</f>
        <v>0</v>
      </c>
      <c r="E18" s="799"/>
      <c r="F18" s="5" t="s">
        <v>36</v>
      </c>
      <c r="H18" s="1"/>
      <c r="I18" s="23" t="s">
        <v>23</v>
      </c>
      <c r="J18" s="25">
        <f>D18*6*-1</f>
        <v>0</v>
      </c>
      <c r="K18" s="25">
        <f>K8</f>
        <v>48</v>
      </c>
      <c r="L18" s="92">
        <f>ROUND((J18*K18)/1000,5)</f>
        <v>0</v>
      </c>
      <c r="M18" s="29" t="s">
        <v>73</v>
      </c>
      <c r="P18" s="362"/>
      <c r="Q18" s="375" t="str">
        <f t="shared" si="0"/>
        <v>Ln18</v>
      </c>
      <c r="R18" s="384" t="str">
        <f>IF(D15&gt;T18,"ERR","OK")</f>
        <v>OK</v>
      </c>
      <c r="S18" s="548" t="s">
        <v>239</v>
      </c>
      <c r="T18" s="411">
        <v>53</v>
      </c>
      <c r="U18" s="380">
        <v>48</v>
      </c>
      <c r="V18" s="412">
        <f>T18*6</f>
        <v>318</v>
      </c>
      <c r="W18" s="393" t="s">
        <v>176</v>
      </c>
      <c r="X18" s="357"/>
      <c r="Y18" s="357"/>
      <c r="Z18" s="357"/>
      <c r="AA18" s="357"/>
      <c r="AB18" s="357"/>
      <c r="AC18" s="357"/>
      <c r="AD18" s="357"/>
      <c r="AE18" s="357"/>
      <c r="AF18" s="357"/>
      <c r="AG18" s="357"/>
      <c r="AH18" s="35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95">
        <f ca="1">SUM(J16:J18)</f>
        <v>1654</v>
      </c>
      <c r="K19" s="93"/>
      <c r="L19" s="24">
        <f>SUM(L16:L18)</f>
        <v>64.825029999999998</v>
      </c>
      <c r="M19" s="29" t="str">
        <f>IF(U8=U10,"Landing Weight Limit same as Takeoff Weight","Max Landing Weight  "&amp;TEXT(U10,"#,##0"))</f>
        <v>Landing Weight Limit same as Takeoff Weight</v>
      </c>
      <c r="P19" s="362"/>
      <c r="Q19" s="375" t="str">
        <f t="shared" si="0"/>
        <v>Ln19</v>
      </c>
      <c r="R19" s="391"/>
      <c r="S19" s="549" t="s">
        <v>240</v>
      </c>
      <c r="T19" s="411">
        <v>35</v>
      </c>
      <c r="U19" s="413"/>
      <c r="V19" s="412">
        <f>T19*6</f>
        <v>210</v>
      </c>
      <c r="W19" s="357"/>
      <c r="X19" s="357"/>
      <c r="Y19" s="357"/>
      <c r="Z19" s="357"/>
      <c r="AA19" s="414" t="str">
        <f ca="1">IF(AA20&gt;U8,"OUT","OK")</f>
        <v>OK</v>
      </c>
      <c r="AB19" s="415" t="s">
        <v>164</v>
      </c>
      <c r="AC19" s="357"/>
      <c r="AD19" s="357"/>
      <c r="AE19" s="414" t="str">
        <f ca="1">IF(AA19="out","out",IF(AND(AE20&gt;=AG20,AE20&lt;=AH20),"OK","OUT"))</f>
        <v>OK</v>
      </c>
      <c r="AF19" s="357"/>
      <c r="AG19" s="357"/>
      <c r="AH19" s="357"/>
      <c r="AI19" s="237"/>
      <c r="AJ19" s="237"/>
    </row>
    <row r="20" spans="2:36" ht="15" customHeight="1" thickTop="1" thickBot="1" x14ac:dyDescent="0.25">
      <c r="B20" s="135" t="s">
        <v>132</v>
      </c>
      <c r="I20" s="28" t="s">
        <v>8</v>
      </c>
      <c r="J20" s="94"/>
      <c r="K20" s="96">
        <f ca="1">(L19*1000)/J19</f>
        <v>39.192883917775092</v>
      </c>
      <c r="L20" s="76"/>
      <c r="M20" s="30" t="s">
        <v>65</v>
      </c>
      <c r="P20" s="362"/>
      <c r="Q20" s="375" t="str">
        <f t="shared" si="0"/>
        <v>Ln20</v>
      </c>
      <c r="R20" s="83" t="str">
        <f>IF(AND(T18=T19,LEFT(T20,1)="F"),"OK",IF(AND(T18&lt;&gt;T19,LEFT(T20,1)&lt;&gt;"F"),"OK","ERR"))</f>
        <v>OK</v>
      </c>
      <c r="S20" s="547" t="s">
        <v>188</v>
      </c>
      <c r="T20" s="546" t="s">
        <v>187</v>
      </c>
      <c r="U20" s="397" t="s">
        <v>190</v>
      </c>
      <c r="V20" s="412"/>
      <c r="W20" s="392"/>
      <c r="X20" s="357"/>
      <c r="Y20" s="416" t="s">
        <v>47</v>
      </c>
      <c r="Z20" s="417" t="s">
        <v>1</v>
      </c>
      <c r="AA20" s="418">
        <f ca="1">J16</f>
        <v>1654</v>
      </c>
      <c r="AB20" s="419"/>
      <c r="AC20" s="420"/>
      <c r="AD20" s="421" t="s">
        <v>40</v>
      </c>
      <c r="AE20" s="422">
        <f ca="1">K17</f>
        <v>39.192883917775092</v>
      </c>
      <c r="AF20" s="423" t="s">
        <v>61</v>
      </c>
      <c r="AG20" s="424">
        <f ca="1">VLOOKUP(AA20,Z23:AH26,8,TRUE)</f>
        <v>35</v>
      </c>
      <c r="AH20" s="425">
        <f ca="1">VLOOKUP(AA20,Z23:AH26,9,TRUE)</f>
        <v>47.3</v>
      </c>
      <c r="AI20" s="237"/>
      <c r="AJ20" s="237"/>
    </row>
    <row r="21" spans="2:36" ht="13.5" thickTop="1" x14ac:dyDescent="0.2">
      <c r="B21" s="770" t="str">
        <f>IF(R10&lt;&gt;"OK","Caution - Landing Weight",IF(R11&lt;&gt;"OK","Watch Early Landing Weight",""))</f>
        <v/>
      </c>
      <c r="C21" s="772" t="str">
        <f ca="1">IF(OR(AA19="out",AE19="out"),"CAUTION:   Wt or CG Out of Limits","")</f>
        <v/>
      </c>
      <c r="D21" s="772"/>
      <c r="E21" s="772"/>
      <c r="F21" s="773"/>
      <c r="P21" s="362"/>
      <c r="Q21" s="375" t="str">
        <f t="shared" si="0"/>
        <v>Ln21</v>
      </c>
      <c r="R21" s="391"/>
      <c r="S21" s="548" t="s">
        <v>191</v>
      </c>
      <c r="T21" s="411">
        <v>1.1000000000000001</v>
      </c>
      <c r="U21" s="413"/>
      <c r="V21" s="582">
        <f>ROUND(T21*6,0)*-1</f>
        <v>-7</v>
      </c>
      <c r="W21" s="357"/>
      <c r="X21" s="357"/>
      <c r="Y21" s="426" t="s">
        <v>48</v>
      </c>
      <c r="Z21" s="427"/>
      <c r="AA21" s="428" t="s">
        <v>67</v>
      </c>
      <c r="AB21" s="429"/>
      <c r="AC21" s="430"/>
      <c r="AD21" s="427"/>
      <c r="AE21" s="431" t="s">
        <v>66</v>
      </c>
      <c r="AF21" s="427"/>
      <c r="AG21" s="432" t="s">
        <v>46</v>
      </c>
      <c r="AH21" s="433" t="s">
        <v>46</v>
      </c>
      <c r="AI21" s="237"/>
      <c r="AJ21" s="237"/>
    </row>
    <row r="22" spans="2:36" ht="13.5" thickBot="1" x14ac:dyDescent="0.25">
      <c r="B22" s="771"/>
      <c r="C22" s="774"/>
      <c r="D22" s="774"/>
      <c r="E22" s="774"/>
      <c r="F22" s="775"/>
      <c r="P22" s="358"/>
      <c r="Q22" s="357"/>
      <c r="R22" s="391"/>
      <c r="S22" s="550" t="s">
        <v>15</v>
      </c>
      <c r="T22" s="391"/>
      <c r="U22" s="392"/>
      <c r="V22" s="391"/>
      <c r="W22" s="393" t="s">
        <v>177</v>
      </c>
      <c r="X22" s="357"/>
      <c r="Y22" s="426" t="s">
        <v>49</v>
      </c>
      <c r="Z22" s="434" t="s">
        <v>41</v>
      </c>
      <c r="AA22" s="434" t="s">
        <v>42</v>
      </c>
      <c r="AB22" s="435" t="s">
        <v>43</v>
      </c>
      <c r="AC22" s="436" t="s">
        <v>41</v>
      </c>
      <c r="AD22" s="437" t="s">
        <v>42</v>
      </c>
      <c r="AE22" s="438" t="s">
        <v>44</v>
      </c>
      <c r="AF22" s="439" t="s">
        <v>45</v>
      </c>
      <c r="AG22" s="440" t="s">
        <v>68</v>
      </c>
      <c r="AH22" s="441" t="s">
        <v>69</v>
      </c>
      <c r="AI22" s="237"/>
      <c r="AJ22" s="237"/>
    </row>
    <row r="23" spans="2:36" ht="13.5" thickTop="1" x14ac:dyDescent="0.2">
      <c r="B23" s="34" t="str">
        <f>IF(AND(R52&lt;&gt;"OK",R48&lt;&gt;"OK"),"Enter Fuel on Board","")</f>
        <v/>
      </c>
      <c r="C23" s="776" t="str">
        <f>IF(R53&lt;&gt;"OK","Fuel &lt;1-HR Reserve","")</f>
        <v/>
      </c>
      <c r="D23" s="776"/>
      <c r="E23" s="776"/>
      <c r="F23" s="777"/>
      <c r="I23" s="10" t="s">
        <v>64</v>
      </c>
      <c r="P23" s="358"/>
      <c r="Q23" s="401"/>
      <c r="R23" s="391"/>
      <c r="S23" s="550" t="s">
        <v>192</v>
      </c>
      <c r="T23" s="391"/>
      <c r="U23" s="392"/>
      <c r="V23" s="391"/>
      <c r="W23" s="393" t="s">
        <v>177</v>
      </c>
      <c r="X23" s="357"/>
      <c r="Y23" s="426" t="s">
        <v>50</v>
      </c>
      <c r="Z23" s="442">
        <f>Z15</f>
        <v>1500</v>
      </c>
      <c r="AA23" s="443">
        <f>Z12</f>
        <v>1948</v>
      </c>
      <c r="AB23" s="444">
        <f>+AA23-Z23</f>
        <v>448</v>
      </c>
      <c r="AC23" s="445">
        <f>AE16</f>
        <v>35</v>
      </c>
      <c r="AD23" s="446">
        <f>AE12</f>
        <v>35</v>
      </c>
      <c r="AE23" s="447">
        <f>AD23-AC23</f>
        <v>0</v>
      </c>
      <c r="AF23" s="448">
        <f>IF(OR(AB23=0,AE23=0),0,ROUND(AE23/AB23,5))</f>
        <v>0</v>
      </c>
      <c r="AG23" s="449">
        <f ca="1">IF(AND(AA20&gt;=Z23,AA20&lt;AA23),AC23+((AA20-Z23)*AF23),AC23)</f>
        <v>35</v>
      </c>
      <c r="AH23" s="450">
        <f>AD26</f>
        <v>47.3</v>
      </c>
      <c r="AI23" s="237"/>
      <c r="AJ23" s="237"/>
    </row>
    <row r="24" spans="2:36" ht="12.75" customHeight="1" x14ac:dyDescent="0.2">
      <c r="B24" s="77" t="str">
        <f>IF(AND(R52&lt;&gt;"OK",R49&lt;&gt;"OK"),"Enter GPH Usage","")</f>
        <v/>
      </c>
      <c r="C24" s="778" t="str">
        <f>IF(OR(R18&lt;&gt;"OK",R51&lt;&gt;"OK"),"Fueling Error","")</f>
        <v/>
      </c>
      <c r="D24" s="778"/>
      <c r="E24" s="778"/>
      <c r="F24" s="779"/>
      <c r="I24" s="9" t="s">
        <v>62</v>
      </c>
      <c r="P24" s="358"/>
      <c r="Q24" s="401"/>
      <c r="R24" s="401"/>
      <c r="S24" s="401"/>
      <c r="T24" s="401"/>
      <c r="U24" s="401"/>
      <c r="V24" s="401"/>
      <c r="W24" s="401"/>
      <c r="X24" s="357"/>
      <c r="Y24" s="426" t="s">
        <v>51</v>
      </c>
      <c r="Z24" s="451">
        <f>AA23</f>
        <v>1948</v>
      </c>
      <c r="AA24" s="452">
        <f>AA8</f>
        <v>2550</v>
      </c>
      <c r="AB24" s="453">
        <f>+AA24-Z24</f>
        <v>602</v>
      </c>
      <c r="AC24" s="454">
        <f>IF(AD24=AD23,AC23,AD23)</f>
        <v>35</v>
      </c>
      <c r="AD24" s="455">
        <f>AF8</f>
        <v>41</v>
      </c>
      <c r="AE24" s="447">
        <f>AD24-AC24</f>
        <v>6</v>
      </c>
      <c r="AF24" s="448">
        <f>IF(OR(AB24=0,AE24=0),0,ROUND(AE24/AB24,5))</f>
        <v>9.9699999999999997E-3</v>
      </c>
      <c r="AG24" s="449">
        <f ca="1">IF(AND(AA20&gt;=Z24,AA20&lt;AA24),AC24+((AA20-Z24)*AF24),AC24)</f>
        <v>35</v>
      </c>
      <c r="AH24" s="213">
        <f>AH23</f>
        <v>47.3</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358"/>
      <c r="Q25" s="370" t="s">
        <v>159</v>
      </c>
      <c r="R25" s="371"/>
      <c r="S25" s="371"/>
      <c r="T25" s="371"/>
      <c r="U25" s="372" t="s">
        <v>2</v>
      </c>
      <c r="V25" s="372" t="s">
        <v>1</v>
      </c>
      <c r="W25" s="373" t="s">
        <v>179</v>
      </c>
      <c r="X25" s="357"/>
      <c r="Y25" s="426" t="s">
        <v>52</v>
      </c>
      <c r="Z25" s="451">
        <f>AA24</f>
        <v>2550</v>
      </c>
      <c r="AA25" s="452">
        <f>AC8</f>
        <v>2550</v>
      </c>
      <c r="AB25" s="453">
        <f>+AA25-Z25</f>
        <v>0</v>
      </c>
      <c r="AC25" s="454">
        <f>IF(AD25=AD24,AC24,AD24)</f>
        <v>41</v>
      </c>
      <c r="AD25" s="455">
        <f>AH8</f>
        <v>47.3</v>
      </c>
      <c r="AE25" s="447">
        <f>AD25-AC25</f>
        <v>6.2999999999999972</v>
      </c>
      <c r="AF25" s="448">
        <f>IF(OR(AB25=0,AE25=0),0,ROUND(AE25/AB25,5))</f>
        <v>0</v>
      </c>
      <c r="AG25" s="449">
        <f ca="1">IF(AND(AA20&gt;=Z25,AA20&lt;AA25),AC25+((AA20-Z25)*AF25),AC25)</f>
        <v>41</v>
      </c>
      <c r="AH25" s="213">
        <f>AH24</f>
        <v>47.3</v>
      </c>
      <c r="AI25" s="237"/>
      <c r="AJ25" s="237"/>
    </row>
    <row r="26" spans="2:36" ht="13.5" thickTop="1" x14ac:dyDescent="0.2">
      <c r="I26" s="8" t="str">
        <f>"R Front:  "&amp;IF(E7=0,"---",E7&amp;"#")</f>
        <v>R Front:  ---</v>
      </c>
      <c r="P26" s="358"/>
      <c r="Q26" s="375" t="str">
        <f t="shared" si="0"/>
        <v>Ln26</v>
      </c>
      <c r="R26" s="391"/>
      <c r="S26" s="456" t="s">
        <v>11</v>
      </c>
      <c r="T26" s="378"/>
      <c r="U26" s="380">
        <v>37</v>
      </c>
      <c r="V26" s="412">
        <f>C7+E7</f>
        <v>0</v>
      </c>
      <c r="W26" s="457"/>
      <c r="X26" s="357"/>
      <c r="Y26" s="458" t="s">
        <v>52</v>
      </c>
      <c r="Z26" s="459">
        <f>AA25</f>
        <v>2550</v>
      </c>
      <c r="AA26" s="460">
        <f>AC16</f>
        <v>2550</v>
      </c>
      <c r="AB26" s="461">
        <f>+AA26-Z26</f>
        <v>0</v>
      </c>
      <c r="AC26" s="462">
        <f>IF(AD26=AD25,AC25,AD25)</f>
        <v>41</v>
      </c>
      <c r="AD26" s="463">
        <f>AH16</f>
        <v>47.3</v>
      </c>
      <c r="AE26" s="464">
        <f>AD26-AC26</f>
        <v>6.2999999999999972</v>
      </c>
      <c r="AF26" s="465">
        <f>IF(OR(AB26=0,AE26=0),0,ROUND(AE26/AB26,5))</f>
        <v>0</v>
      </c>
      <c r="AG26" s="466">
        <f ca="1">IF(AND(AA20&gt;=Z26,AA20&lt;AA26),AC26+((AA20-Z26)*AF26),AC26)</f>
        <v>41</v>
      </c>
      <c r="AH26" s="217">
        <f>AH25</f>
        <v>47.3</v>
      </c>
      <c r="AI26" s="237"/>
      <c r="AJ26" s="237"/>
    </row>
    <row r="27" spans="2:36" ht="12.75" customHeight="1" x14ac:dyDescent="0.2">
      <c r="B27" s="60" t="s">
        <v>79</v>
      </c>
      <c r="H27" s="1"/>
      <c r="I27" s="8" t="str">
        <f>"L  Rear:  "&amp;IF(C9=0,"---",C9&amp;"#")</f>
        <v>L  Rear:  ---</v>
      </c>
      <c r="P27" s="358"/>
      <c r="Q27" s="375" t="str">
        <f t="shared" si="0"/>
        <v>Ln27</v>
      </c>
      <c r="R27" s="391"/>
      <c r="S27" s="456" t="s">
        <v>12</v>
      </c>
      <c r="T27" s="378"/>
      <c r="U27" s="380">
        <v>73</v>
      </c>
      <c r="V27" s="412">
        <f>C9+E9</f>
        <v>0</v>
      </c>
      <c r="W27" s="457"/>
      <c r="X27" s="357"/>
      <c r="Y27" s="357"/>
      <c r="Z27" s="357"/>
      <c r="AA27" s="357"/>
      <c r="AB27" s="357"/>
      <c r="AC27" s="357"/>
      <c r="AD27" s="357"/>
      <c r="AE27" s="357"/>
      <c r="AF27" s="357"/>
      <c r="AG27" s="357"/>
      <c r="AH27" s="357"/>
      <c r="AI27" s="237"/>
      <c r="AJ27" s="237"/>
    </row>
    <row r="28" spans="2:36" ht="13.5" thickBot="1" x14ac:dyDescent="0.25">
      <c r="B28" s="22" t="s">
        <v>127</v>
      </c>
      <c r="D28" s="782">
        <f>U37+(J15*-1)</f>
        <v>896</v>
      </c>
      <c r="E28" s="783"/>
      <c r="F28" s="784" t="str">
        <f>"( "&amp;TEXT(U37,"#,##0")&amp;"+"&amp;J15*-1&amp;" )"</f>
        <v>( 889+7 )</v>
      </c>
      <c r="G28" s="785"/>
      <c r="H28" s="785"/>
      <c r="I28" s="8" t="str">
        <f>"R  Rear:  "&amp;IF(E9=0,"---",E9&amp;"#")</f>
        <v>R  Rear:  ---</v>
      </c>
      <c r="P28" s="358"/>
      <c r="Q28" s="357"/>
      <c r="R28" s="357"/>
      <c r="S28" s="357"/>
      <c r="T28" s="357"/>
      <c r="U28" s="413"/>
      <c r="V28" s="413"/>
      <c r="W28" s="357"/>
      <c r="X28" s="357"/>
      <c r="Y28" s="357"/>
      <c r="Z28" s="357"/>
      <c r="AA28" s="357"/>
      <c r="AB28" s="357"/>
      <c r="AC28" s="357"/>
      <c r="AD28" s="357"/>
      <c r="AE28" s="357"/>
      <c r="AF28" s="357"/>
      <c r="AG28" s="357"/>
      <c r="AH28" s="357"/>
      <c r="AI28" s="237"/>
      <c r="AJ28" s="237"/>
    </row>
    <row r="29" spans="2:36" ht="13.5" thickBot="1" x14ac:dyDescent="0.25">
      <c r="B29" s="22" t="s">
        <v>126</v>
      </c>
      <c r="D29" s="786">
        <f>SUM(J8:J13)</f>
        <v>0</v>
      </c>
      <c r="E29" s="787"/>
      <c r="I29" s="8" t="str">
        <f>"Bag 1:  "&amp;IF(C11=0,"---",C11&amp;"#")</f>
        <v>Bag 1:  ---</v>
      </c>
      <c r="P29" s="358"/>
      <c r="Q29" s="375" t="str">
        <f t="shared" si="0"/>
        <v>Ln29</v>
      </c>
      <c r="R29" s="467" t="str">
        <f>IF(C11&gt;V29,"ERR","OK")</f>
        <v>OK</v>
      </c>
      <c r="S29" s="456" t="s">
        <v>25</v>
      </c>
      <c r="T29" s="378"/>
      <c r="U29" s="380">
        <v>95</v>
      </c>
      <c r="V29" s="468">
        <v>120</v>
      </c>
      <c r="W29" s="393" t="s">
        <v>176</v>
      </c>
      <c r="X29" s="357"/>
      <c r="Y29" s="357"/>
      <c r="Z29" s="357"/>
      <c r="AA29" s="357"/>
      <c r="AB29" s="357"/>
      <c r="AC29" s="357"/>
      <c r="AD29" s="357"/>
      <c r="AE29" s="357"/>
      <c r="AF29" s="357"/>
      <c r="AG29" s="357"/>
      <c r="AH29" s="357"/>
      <c r="AI29" s="237"/>
      <c r="AJ29" s="237"/>
    </row>
    <row r="30" spans="2:36" ht="15.75" x14ac:dyDescent="0.3">
      <c r="B30" s="22" t="str">
        <f>IF(D29&lt;=D28,"Lbs before overweight","OVERWEIGHT")</f>
        <v>Lbs before overweight</v>
      </c>
      <c r="D30" s="788">
        <f>ABS(D28-D29)</f>
        <v>896</v>
      </c>
      <c r="E30" s="789"/>
      <c r="F30" s="790" t="str">
        <f>IF(D29&gt;D28,"# Over","")</f>
        <v/>
      </c>
      <c r="G30" s="791"/>
      <c r="H30" s="791"/>
      <c r="I30" s="8" t="str">
        <f>"Bag 2:  "&amp;IF(C12=0,"---",C12&amp;"#")</f>
        <v>Bag 2:  ---</v>
      </c>
      <c r="P30" s="358"/>
      <c r="Q30" s="375" t="str">
        <f t="shared" si="0"/>
        <v>Ln30</v>
      </c>
      <c r="R30" s="467" t="str">
        <f>IF(C12&gt;V30,"ERR","OK")</f>
        <v>OK</v>
      </c>
      <c r="S30" s="456" t="s">
        <v>26</v>
      </c>
      <c r="T30" s="469"/>
      <c r="U30" s="380">
        <v>123</v>
      </c>
      <c r="V30" s="468">
        <v>50</v>
      </c>
      <c r="W30" s="393" t="s">
        <v>176</v>
      </c>
      <c r="X30" s="357"/>
      <c r="Y30" s="357"/>
      <c r="Z30" s="472"/>
      <c r="AA30" s="473"/>
      <c r="AB30" s="474" t="s">
        <v>165</v>
      </c>
      <c r="AC30" s="371"/>
      <c r="AD30" s="371"/>
      <c r="AE30" s="371"/>
      <c r="AF30" s="371"/>
      <c r="AG30" s="371"/>
      <c r="AH30" s="357"/>
      <c r="AI30" s="237"/>
      <c r="AJ30" s="237"/>
    </row>
    <row r="31" spans="2:36" ht="15.75" thickBot="1" x14ac:dyDescent="0.3">
      <c r="P31" s="358"/>
      <c r="Q31" s="375" t="str">
        <f t="shared" si="0"/>
        <v>Ln31</v>
      </c>
      <c r="R31" s="467" t="str">
        <f>IF(C11+C12&gt;V31,"ERR","OK")</f>
        <v>OK</v>
      </c>
      <c r="S31" s="470" t="s">
        <v>30</v>
      </c>
      <c r="T31" s="469"/>
      <c r="U31" s="471"/>
      <c r="V31" s="468">
        <v>120</v>
      </c>
      <c r="W31" s="357"/>
      <c r="X31" s="357"/>
      <c r="Y31" s="357"/>
      <c r="Z31" s="357"/>
      <c r="AA31" s="357"/>
      <c r="AB31" s="357"/>
      <c r="AC31" s="382" t="s">
        <v>162</v>
      </c>
      <c r="AD31" s="357"/>
      <c r="AE31" s="357"/>
      <c r="AF31" s="357"/>
      <c r="AG31" s="473"/>
      <c r="AH31" s="357"/>
      <c r="AI31" s="237"/>
      <c r="AJ31" s="237"/>
    </row>
    <row r="32" spans="2:36" ht="13.5" thickTop="1" x14ac:dyDescent="0.2">
      <c r="I32" s="8"/>
      <c r="P32" s="358"/>
      <c r="Q32" s="375" t="str">
        <f t="shared" si="0"/>
        <v>Ln32</v>
      </c>
      <c r="R32" s="391"/>
      <c r="S32" s="475" t="s">
        <v>152</v>
      </c>
      <c r="T32" s="391"/>
      <c r="U32" s="471"/>
      <c r="V32" s="471"/>
      <c r="W32" s="357"/>
      <c r="X32" s="357"/>
      <c r="Y32" s="476"/>
      <c r="Z32" s="477"/>
      <c r="AA32" s="478">
        <v>2550</v>
      </c>
      <c r="AC32" s="624">
        <f>AA32</f>
        <v>2550</v>
      </c>
      <c r="AD32" s="357"/>
      <c r="AF32" s="479">
        <v>41</v>
      </c>
      <c r="AH32" s="390">
        <v>47.3</v>
      </c>
      <c r="AI32" s="237"/>
      <c r="AJ32" s="237"/>
    </row>
    <row r="33" spans="8:36" x14ac:dyDescent="0.2">
      <c r="I33" s="9" t="s">
        <v>63</v>
      </c>
      <c r="P33" s="358"/>
      <c r="Q33" s="375" t="str">
        <f t="shared" si="0"/>
        <v>Ln33</v>
      </c>
      <c r="R33" s="391"/>
      <c r="S33" s="475" t="s">
        <v>152</v>
      </c>
      <c r="T33" s="391"/>
      <c r="U33" s="471"/>
      <c r="V33" s="471"/>
      <c r="W33" s="357"/>
      <c r="X33" s="357"/>
      <c r="Y33" s="480"/>
      <c r="Z33" s="82"/>
      <c r="AD33" s="357"/>
      <c r="AI33" s="237"/>
      <c r="AJ33" s="237"/>
    </row>
    <row r="34" spans="8:36" ht="13.5" x14ac:dyDescent="0.25">
      <c r="I34" s="10" t="str">
        <f>"Start:  "&amp;TEXT(D15,("###.0"))&amp;" USG"</f>
        <v>Start:  .0 USG</v>
      </c>
      <c r="P34" s="358"/>
      <c r="Q34" s="375" t="str">
        <f t="shared" si="0"/>
        <v>Ln34</v>
      </c>
      <c r="R34" s="391"/>
      <c r="S34" s="475" t="s">
        <v>152</v>
      </c>
      <c r="T34" s="391"/>
      <c r="U34" s="471"/>
      <c r="V34" s="471"/>
      <c r="W34" s="357"/>
      <c r="X34" s="357"/>
      <c r="Y34" s="481" t="s">
        <v>155</v>
      </c>
      <c r="Z34" s="82"/>
      <c r="AD34" s="357"/>
      <c r="AI34" s="237"/>
      <c r="AJ34" s="237"/>
    </row>
    <row r="35" spans="8:36" ht="13.5" x14ac:dyDescent="0.25">
      <c r="I35" s="10" t="str">
        <f>"Used:    "&amp;TEXT(D18,("###.0"))&amp;" USG"</f>
        <v>Used:    .0 USG</v>
      </c>
      <c r="P35" s="358"/>
      <c r="Q35" s="357"/>
      <c r="R35" s="357"/>
      <c r="S35" s="357"/>
      <c r="T35" s="357"/>
      <c r="U35" s="357"/>
      <c r="V35" s="357"/>
      <c r="W35" s="357"/>
      <c r="X35" s="357"/>
      <c r="Y35" s="481" t="s">
        <v>50</v>
      </c>
      <c r="Z35" s="82"/>
      <c r="AA35" s="766" t="s">
        <v>1</v>
      </c>
      <c r="AB35" s="766"/>
      <c r="AD35" s="357"/>
      <c r="AF35" s="766" t="s">
        <v>154</v>
      </c>
      <c r="AG35" s="766"/>
      <c r="AI35" s="237"/>
      <c r="AJ35" s="237"/>
    </row>
    <row r="36" spans="8:36" ht="13.5" x14ac:dyDescent="0.25">
      <c r="I36" s="10" t="str">
        <f>"Reserve:  "&amp;TEXT(D15-D18,"###.0")&amp;" USG"</f>
        <v>Reserve:  .0 USG</v>
      </c>
      <c r="P36" s="358"/>
      <c r="Q36" s="370" t="s">
        <v>160</v>
      </c>
      <c r="R36" s="371"/>
      <c r="S36" s="371"/>
      <c r="T36" s="371"/>
      <c r="U36" s="482" t="s">
        <v>1</v>
      </c>
      <c r="V36" s="357"/>
      <c r="W36" s="357"/>
      <c r="X36" s="357"/>
      <c r="Y36" s="481" t="s">
        <v>56</v>
      </c>
      <c r="Z36" s="478">
        <v>1948</v>
      </c>
      <c r="AA36" s="766" t="s">
        <v>153</v>
      </c>
      <c r="AB36" s="766"/>
      <c r="AD36" s="357"/>
      <c r="AE36" s="623">
        <f>AE40</f>
        <v>35</v>
      </c>
      <c r="AF36" s="766" t="s">
        <v>153</v>
      </c>
      <c r="AG36" s="766"/>
      <c r="AI36" s="237"/>
      <c r="AJ36" s="237"/>
    </row>
    <row r="37" spans="8:36" ht="13.5" x14ac:dyDescent="0.25">
      <c r="P37" s="358"/>
      <c r="Q37" s="375" t="str">
        <f t="shared" ref="Q37:Q39" si="1">"Ln"&amp;ROW()</f>
        <v>Ln37</v>
      </c>
      <c r="R37" s="484"/>
      <c r="S37" s="400" t="s">
        <v>77</v>
      </c>
      <c r="T37" s="485"/>
      <c r="U37" s="486">
        <f>ROUNDDOWN(U8-U7,0)</f>
        <v>889</v>
      </c>
      <c r="V37" s="357"/>
      <c r="W37" s="357"/>
      <c r="X37" s="357"/>
      <c r="Y37" s="481" t="s">
        <v>57</v>
      </c>
      <c r="Z37" s="82"/>
      <c r="AC37" s="767" t="s">
        <v>157</v>
      </c>
      <c r="AD37" s="357"/>
      <c r="AH37" s="767" t="s">
        <v>157</v>
      </c>
      <c r="AI37" s="237"/>
      <c r="AJ37" s="237"/>
    </row>
    <row r="38" spans="8:36" ht="13.5" x14ac:dyDescent="0.25">
      <c r="I38" s="9" t="s">
        <v>72</v>
      </c>
      <c r="P38" s="358"/>
      <c r="Q38" s="375" t="str">
        <f t="shared" si="1"/>
        <v>Ln38</v>
      </c>
      <c r="R38" s="484"/>
      <c r="S38" s="400" t="s">
        <v>76</v>
      </c>
      <c r="T38" s="485"/>
      <c r="U38" s="486">
        <f>IF(T19=0,"",U37-V19)</f>
        <v>679</v>
      </c>
      <c r="V38" s="357"/>
      <c r="W38" s="357"/>
      <c r="X38" s="357"/>
      <c r="Y38" s="481" t="s">
        <v>156</v>
      </c>
      <c r="Z38" s="82"/>
      <c r="AC38" s="767"/>
      <c r="AD38" s="357"/>
      <c r="AH38" s="767"/>
      <c r="AI38" s="237"/>
      <c r="AJ38" s="237"/>
    </row>
    <row r="39" spans="8:36" ht="13.5" x14ac:dyDescent="0.25">
      <c r="H39" s="7"/>
      <c r="I39" s="63" t="str">
        <f>IF(T42="","","Max Flight (NO Res)")</f>
        <v/>
      </c>
      <c r="P39" s="358"/>
      <c r="Q39" s="375" t="str">
        <f t="shared" si="1"/>
        <v>Ln39</v>
      </c>
      <c r="R39" s="484"/>
      <c r="S39" s="400" t="s">
        <v>78</v>
      </c>
      <c r="T39" s="487"/>
      <c r="U39" s="486">
        <f>U37-V18</f>
        <v>571</v>
      </c>
      <c r="V39" s="357"/>
      <c r="W39" s="357"/>
      <c r="X39" s="357"/>
      <c r="Y39" s="481" t="s">
        <v>47</v>
      </c>
      <c r="Z39" s="82"/>
      <c r="AC39" s="768"/>
      <c r="AD39" s="357"/>
      <c r="AH39" s="768"/>
      <c r="AI39" s="237"/>
      <c r="AJ39" s="237"/>
    </row>
    <row r="40" spans="8:36" x14ac:dyDescent="0.2">
      <c r="H40" s="7"/>
      <c r="I40" s="21" t="str">
        <f>IF(T42="","","~"&amp;TEXT(T42,("##.0"))&amp;" hrs")</f>
        <v/>
      </c>
      <c r="P40" s="358"/>
      <c r="Q40" s="357"/>
      <c r="R40" s="357"/>
      <c r="S40" s="357"/>
      <c r="T40" s="413"/>
      <c r="U40" s="413"/>
      <c r="V40" s="357"/>
      <c r="W40" s="357"/>
      <c r="X40" s="357"/>
      <c r="Y40" s="480"/>
      <c r="Z40" s="478">
        <v>1500</v>
      </c>
      <c r="AC40" s="403">
        <f>AC32</f>
        <v>2550</v>
      </c>
      <c r="AD40" s="357"/>
      <c r="AE40" s="489">
        <v>35</v>
      </c>
      <c r="AF40" s="82"/>
      <c r="AG40" s="82"/>
      <c r="AH40" s="490">
        <f>AH32</f>
        <v>47.3</v>
      </c>
      <c r="AI40" s="242"/>
      <c r="AJ40" s="242"/>
    </row>
    <row r="41" spans="8:36" ht="14.25" thickBot="1" x14ac:dyDescent="0.3">
      <c r="I41" s="61" t="str">
        <f>IF(T42="","","@ "&amp;TEXT(D16,"##.0")&amp;" GPH")</f>
        <v/>
      </c>
      <c r="P41" s="358"/>
      <c r="Q41" s="370" t="s">
        <v>119</v>
      </c>
      <c r="R41" s="371"/>
      <c r="S41" s="482"/>
      <c r="T41" s="488" t="s">
        <v>121</v>
      </c>
      <c r="U41" s="413"/>
      <c r="V41" s="357"/>
      <c r="W41" s="357"/>
      <c r="X41" s="357"/>
      <c r="Y41" s="494"/>
      <c r="Z41" s="495"/>
      <c r="AD41" s="357"/>
      <c r="AE41" s="496"/>
      <c r="AF41" s="769" t="s">
        <v>161</v>
      </c>
      <c r="AG41" s="769"/>
      <c r="AH41" s="497"/>
      <c r="AI41" s="237"/>
      <c r="AJ41" s="237"/>
    </row>
    <row r="42" spans="8:36" ht="13.5" thickTop="1" x14ac:dyDescent="0.2">
      <c r="I42" s="65" t="str">
        <f>IF(R52&lt;&gt;"OK","","  At end of ")</f>
        <v/>
      </c>
      <c r="P42" s="358"/>
      <c r="Q42" s="375" t="str">
        <f t="shared" ref="Q42:Q43" si="2">"Ln"&amp;ROW()</f>
        <v>Ln42</v>
      </c>
      <c r="R42" s="491" t="s">
        <v>91</v>
      </c>
      <c r="S42" s="492"/>
      <c r="T42" s="493" t="str">
        <f>IF(AND(D15&gt;0,D18&gt;0),ROUND(D15/D16,3),"")</f>
        <v/>
      </c>
      <c r="U42" s="413"/>
      <c r="V42" s="357"/>
      <c r="W42" s="357"/>
      <c r="X42" s="357"/>
      <c r="Y42" s="357"/>
      <c r="Z42" s="357"/>
      <c r="AA42" s="357"/>
      <c r="AB42" s="357"/>
      <c r="AC42" s="357"/>
      <c r="AD42" s="357"/>
      <c r="AE42" s="357"/>
      <c r="AF42" s="357"/>
      <c r="AG42" s="357"/>
      <c r="AH42" s="357"/>
      <c r="AI42" s="237"/>
      <c r="AJ42" s="237"/>
    </row>
    <row r="43" spans="8:36" ht="13.5" thickBot="1" x14ac:dyDescent="0.25">
      <c r="I43" s="66" t="str">
        <f>IF(R52&lt;&gt;"OK","",TEXT(D17,"##.0")&amp;" Hr Trip . . ")</f>
        <v/>
      </c>
      <c r="P43" s="358"/>
      <c r="Q43" s="375" t="str">
        <f t="shared" si="2"/>
        <v>Ln43</v>
      </c>
      <c r="R43" s="491" t="s">
        <v>95</v>
      </c>
      <c r="S43" s="492"/>
      <c r="T43" s="493" t="str">
        <f>IF(AND(D15&gt;0,D16&gt;0,D18&gt;0),ROUND((D15-D18)/D16,3),"")</f>
        <v/>
      </c>
      <c r="U43" s="413"/>
      <c r="V43" s="357"/>
      <c r="W43" s="357"/>
      <c r="X43" s="357"/>
      <c r="Y43" s="357"/>
      <c r="Z43" s="357"/>
      <c r="AA43" s="498" t="str">
        <f>IF(U8=U10,"OK",IF(AA44&gt;U10,"OUT","OK"))</f>
        <v>OK</v>
      </c>
      <c r="AB43" s="415" t="s">
        <v>164</v>
      </c>
      <c r="AC43" s="357"/>
      <c r="AD43" s="357"/>
      <c r="AE43" s="498" t="str">
        <f>IF(U8=U10,"OK",IF(AND(AE44&gt;=AG44,AE44&lt;=AH44),"OK","OUT"))</f>
        <v>OK</v>
      </c>
      <c r="AF43" s="357"/>
      <c r="AG43" s="357"/>
      <c r="AH43" s="357"/>
      <c r="AI43" s="237"/>
      <c r="AJ43" s="237"/>
    </row>
    <row r="44" spans="8:36" ht="14.25" thickTop="1" thickBot="1" x14ac:dyDescent="0.25">
      <c r="I44" s="62" t="str">
        <f>IF(R52&lt;&gt;"OK","","Reserve is ~ "&amp;TEXT(T43,"##.0")&amp;" Hrs")</f>
        <v/>
      </c>
      <c r="P44" s="358"/>
      <c r="Q44" s="357"/>
      <c r="R44" s="357"/>
      <c r="S44" s="357"/>
      <c r="T44" s="357"/>
      <c r="U44" s="357"/>
      <c r="V44" s="357"/>
      <c r="W44" s="357"/>
      <c r="X44" s="357"/>
      <c r="Y44" s="416" t="s">
        <v>53</v>
      </c>
      <c r="Z44" s="417" t="s">
        <v>1</v>
      </c>
      <c r="AA44" s="499">
        <f ca="1">J19</f>
        <v>1654</v>
      </c>
      <c r="AB44" s="419"/>
      <c r="AC44" s="420"/>
      <c r="AD44" s="500" t="s">
        <v>40</v>
      </c>
      <c r="AE44" s="499">
        <f ca="1">K20</f>
        <v>39.192883917775092</v>
      </c>
      <c r="AF44" s="423" t="s">
        <v>61</v>
      </c>
      <c r="AG44" s="501">
        <f ca="1">VLOOKUP(AA44,Z47:AH50,8)</f>
        <v>35</v>
      </c>
      <c r="AH44" s="502">
        <f ca="1">VLOOKUP(AA44,Z47:AH50,9)</f>
        <v>47.3</v>
      </c>
      <c r="AI44" s="237"/>
      <c r="AJ44" s="237"/>
    </row>
    <row r="45" spans="8:36" ht="13.5" thickTop="1" x14ac:dyDescent="0.2">
      <c r="I45" s="64" t="str">
        <f>IF(R52&lt;&gt;"OK","",IF(R53&lt;&gt;"OK","Caution: &lt; 1 HR",""))</f>
        <v/>
      </c>
      <c r="P45" s="358"/>
      <c r="Q45" s="370" t="s">
        <v>175</v>
      </c>
      <c r="R45" s="371"/>
      <c r="S45" s="482"/>
      <c r="T45" s="482"/>
      <c r="U45" s="357"/>
      <c r="V45" s="357"/>
      <c r="W45" s="357"/>
      <c r="X45" s="357"/>
      <c r="Y45" s="426" t="s">
        <v>48</v>
      </c>
      <c r="Z45" s="427"/>
      <c r="AA45" s="428" t="s">
        <v>67</v>
      </c>
      <c r="AB45" s="429"/>
      <c r="AC45" s="430"/>
      <c r="AD45" s="427"/>
      <c r="AE45" s="431" t="s">
        <v>66</v>
      </c>
      <c r="AF45" s="427"/>
      <c r="AG45" s="432" t="s">
        <v>46</v>
      </c>
      <c r="AH45" s="433" t="s">
        <v>46</v>
      </c>
      <c r="AI45" s="237"/>
      <c r="AJ45" s="237"/>
    </row>
    <row r="46" spans="8:36" ht="13.5" thickBot="1" x14ac:dyDescent="0.25">
      <c r="P46" s="358"/>
      <c r="Q46" s="375" t="str">
        <f t="shared" ref="Q46:Q53" si="3">"Ln"&amp;ROW()</f>
        <v>Ln46</v>
      </c>
      <c r="R46" s="503" t="str">
        <f>IF(AND(C7="",(E7+C9+E9)&gt;0),"WARN","OK")</f>
        <v>OK</v>
      </c>
      <c r="S46" s="504" t="s">
        <v>89</v>
      </c>
      <c r="T46" s="505"/>
      <c r="U46" s="357"/>
      <c r="V46" s="357"/>
      <c r="W46" s="357"/>
      <c r="X46" s="357"/>
      <c r="Y46" s="426" t="s">
        <v>54</v>
      </c>
      <c r="Z46" s="434" t="s">
        <v>41</v>
      </c>
      <c r="AA46" s="434" t="s">
        <v>42</v>
      </c>
      <c r="AB46" s="435" t="s">
        <v>43</v>
      </c>
      <c r="AC46" s="436" t="s">
        <v>41</v>
      </c>
      <c r="AD46" s="437" t="s">
        <v>42</v>
      </c>
      <c r="AE46" s="438" t="s">
        <v>44</v>
      </c>
      <c r="AF46" s="439" t="s">
        <v>45</v>
      </c>
      <c r="AG46" s="440" t="s">
        <v>68</v>
      </c>
      <c r="AH46" s="441" t="s">
        <v>69</v>
      </c>
      <c r="AI46" s="237"/>
      <c r="AJ46" s="237"/>
    </row>
    <row r="47" spans="8:36" ht="13.5" thickTop="1" x14ac:dyDescent="0.2">
      <c r="P47" s="358"/>
      <c r="Q47" s="375" t="str">
        <f t="shared" si="3"/>
        <v>Ln47</v>
      </c>
      <c r="R47" s="503" t="str">
        <f>IF(C7+E7+C9+E9&gt;0,"INFO","OK")</f>
        <v>OK</v>
      </c>
      <c r="S47" s="504" t="s">
        <v>92</v>
      </c>
      <c r="T47" s="505"/>
      <c r="U47" s="357"/>
      <c r="V47" s="357"/>
      <c r="W47" s="357"/>
      <c r="X47" s="357"/>
      <c r="Y47" s="426" t="s">
        <v>55</v>
      </c>
      <c r="Z47" s="442">
        <f>Z40</f>
        <v>1500</v>
      </c>
      <c r="AA47" s="443">
        <f>Z36</f>
        <v>1948</v>
      </c>
      <c r="AB47" s="444">
        <f>+AA47-Z47</f>
        <v>448</v>
      </c>
      <c r="AC47" s="445">
        <f>AE40</f>
        <v>35</v>
      </c>
      <c r="AD47" s="446">
        <f>AE36</f>
        <v>35</v>
      </c>
      <c r="AE47" s="447">
        <f>AD47-AC47</f>
        <v>0</v>
      </c>
      <c r="AF47" s="448">
        <f>IF(OR(AB47=0,AE47=0),0,ROUND(AE47/AB47,5))</f>
        <v>0</v>
      </c>
      <c r="AG47" s="449">
        <f ca="1">IF(AND(AA44&gt;=Z47,AA44&lt;AA47),AC47+((AA44-Z47)*AF47),AC47)</f>
        <v>35</v>
      </c>
      <c r="AH47" s="450">
        <f>AD50</f>
        <v>47.3</v>
      </c>
      <c r="AI47" s="237"/>
      <c r="AJ47" s="237"/>
    </row>
    <row r="48" spans="8:36" x14ac:dyDescent="0.2">
      <c r="P48" s="358"/>
      <c r="Q48" s="375" t="str">
        <f t="shared" si="3"/>
        <v>Ln48</v>
      </c>
      <c r="R48" s="503" t="str">
        <f>IF(AND(C7&gt;0,D15=0),"WARN","OK")</f>
        <v>OK</v>
      </c>
      <c r="S48" s="506" t="s">
        <v>111</v>
      </c>
      <c r="T48" s="507"/>
      <c r="U48" s="357"/>
      <c r="V48" s="357"/>
      <c r="W48" s="357"/>
      <c r="X48" s="357"/>
      <c r="Y48" s="426" t="s">
        <v>56</v>
      </c>
      <c r="Z48" s="451">
        <f>AA47</f>
        <v>1948</v>
      </c>
      <c r="AA48" s="452">
        <f>AA32</f>
        <v>2550</v>
      </c>
      <c r="AB48" s="453">
        <f>+AA48-Z48</f>
        <v>602</v>
      </c>
      <c r="AC48" s="454">
        <f>IF(AD48=AD47,AC47,AD47)</f>
        <v>35</v>
      </c>
      <c r="AD48" s="455">
        <f>AF32</f>
        <v>41</v>
      </c>
      <c r="AE48" s="447">
        <f>AD48-AC48</f>
        <v>6</v>
      </c>
      <c r="AF48" s="448">
        <f>IF(OR(AB48=0,AE48=0),0,ROUND(AE48/AB48,5))</f>
        <v>9.9699999999999997E-3</v>
      </c>
      <c r="AG48" s="449">
        <f ca="1">IF(AND(AA44&gt;=Z48,AA44&lt;AA48),AC48+((AA44-Z48)*AF48),AC48)</f>
        <v>35</v>
      </c>
      <c r="AH48" s="213">
        <f>AH47</f>
        <v>47.3</v>
      </c>
      <c r="AI48" s="237"/>
      <c r="AJ48" s="237"/>
    </row>
    <row r="49" spans="8:36" x14ac:dyDescent="0.2">
      <c r="P49" s="358"/>
      <c r="Q49" s="375" t="str">
        <f t="shared" si="3"/>
        <v>Ln49</v>
      </c>
      <c r="R49" s="503" t="str">
        <f>IF(AND(C7&gt;0,D16=0),"WARN","OK")</f>
        <v>OK</v>
      </c>
      <c r="S49" s="506" t="s">
        <v>113</v>
      </c>
      <c r="T49" s="507"/>
      <c r="U49" s="357"/>
      <c r="V49" s="357"/>
      <c r="W49" s="357"/>
      <c r="X49" s="357"/>
      <c r="Y49" s="426" t="s">
        <v>54</v>
      </c>
      <c r="Z49" s="451">
        <f>AA48</f>
        <v>2550</v>
      </c>
      <c r="AA49" s="452">
        <f>AC32</f>
        <v>2550</v>
      </c>
      <c r="AB49" s="453">
        <f>+AA49-Z49</f>
        <v>0</v>
      </c>
      <c r="AC49" s="454">
        <f>IF(AD49=AD48,AC48,AD48)</f>
        <v>41</v>
      </c>
      <c r="AD49" s="455">
        <f>AH32</f>
        <v>47.3</v>
      </c>
      <c r="AE49" s="447">
        <f>AD49-AC49</f>
        <v>6.2999999999999972</v>
      </c>
      <c r="AF49" s="448">
        <f>IF(OR(AB49=0,AE49=0),0,ROUND(AE49/AB49,5))</f>
        <v>0</v>
      </c>
      <c r="AG49" s="449">
        <f ca="1">IF(AND(AA44&gt;=Z49,AA44&lt;AA49),AC49+((AA44-Z49)*AF49),AC49)</f>
        <v>41</v>
      </c>
      <c r="AH49" s="213">
        <f>AH48</f>
        <v>47.3</v>
      </c>
      <c r="AI49" s="237"/>
      <c r="AJ49" s="237"/>
    </row>
    <row r="50" spans="8:36" ht="13.5" thickBot="1" x14ac:dyDescent="0.25">
      <c r="P50" s="358"/>
      <c r="Q50" s="375" t="str">
        <f t="shared" si="3"/>
        <v>Ln50</v>
      </c>
      <c r="R50" s="503" t="str">
        <f>IF(AND(C7&gt;0,D17=0),"WARN","OK")</f>
        <v>OK</v>
      </c>
      <c r="S50" s="506" t="s">
        <v>112</v>
      </c>
      <c r="T50" s="507"/>
      <c r="U50" s="357"/>
      <c r="V50" s="357"/>
      <c r="W50" s="357"/>
      <c r="X50" s="357"/>
      <c r="Y50" s="458" t="s">
        <v>57</v>
      </c>
      <c r="Z50" s="459">
        <f>AA49</f>
        <v>2550</v>
      </c>
      <c r="AA50" s="460">
        <f>AC40</f>
        <v>2550</v>
      </c>
      <c r="AB50" s="461">
        <f>+AA50-Z50</f>
        <v>0</v>
      </c>
      <c r="AC50" s="462">
        <f>IF(AD50=AD49,AC49,AD49)</f>
        <v>41</v>
      </c>
      <c r="AD50" s="463">
        <f>AH40</f>
        <v>47.3</v>
      </c>
      <c r="AE50" s="464">
        <f>AD50-AC50</f>
        <v>6.2999999999999972</v>
      </c>
      <c r="AF50" s="465">
        <f>IF(OR(AB50=0,AE50=0),0,ROUND(AE50/AB50,5))</f>
        <v>0</v>
      </c>
      <c r="AG50" s="466">
        <f ca="1">IF(AND(AA44&gt;=Z50,AA44&lt;AA50),AC50+((AA44-Z50)*AF50),AC50)</f>
        <v>41</v>
      </c>
      <c r="AH50" s="217">
        <f>AH49</f>
        <v>47.3</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358"/>
      <c r="Q51" s="375" t="str">
        <f t="shared" si="3"/>
        <v>Ln51</v>
      </c>
      <c r="R51" s="503" t="str">
        <f>IF(D18&gt;D15,"ERR","OK")</f>
        <v>OK</v>
      </c>
      <c r="S51" s="506" t="s">
        <v>94</v>
      </c>
      <c r="T51" s="507"/>
      <c r="U51" s="357"/>
      <c r="V51" s="357"/>
      <c r="W51" s="357"/>
      <c r="X51" s="357"/>
      <c r="Y51" s="357"/>
      <c r="Z51" s="357"/>
      <c r="AA51" s="357"/>
      <c r="AB51" s="357"/>
      <c r="AC51" s="357"/>
      <c r="AD51" s="357"/>
      <c r="AE51" s="357"/>
      <c r="AF51" s="357"/>
      <c r="AG51" s="357"/>
      <c r="AH51" s="357"/>
      <c r="AI51" s="237"/>
      <c r="AJ51" s="237"/>
    </row>
    <row r="52" spans="8:36" x14ac:dyDescent="0.2">
      <c r="I52" s="758"/>
      <c r="J52" s="762"/>
      <c r="K52" s="762"/>
      <c r="L52" s="762"/>
      <c r="M52" s="763"/>
      <c r="P52" s="358"/>
      <c r="Q52" s="375" t="str">
        <f t="shared" si="3"/>
        <v>Ln52</v>
      </c>
      <c r="R52" s="503" t="str">
        <f>IF(OR(D15=0,D16=0,D17=0),"WARN","OK")</f>
        <v>WARN</v>
      </c>
      <c r="S52" s="506" t="s">
        <v>110</v>
      </c>
      <c r="T52" s="507"/>
      <c r="U52" s="357"/>
      <c r="V52" s="357"/>
      <c r="W52" s="357"/>
      <c r="X52" s="357"/>
      <c r="Y52" s="357"/>
      <c r="Z52" s="357"/>
      <c r="AA52" s="357"/>
      <c r="AB52" s="357"/>
      <c r="AC52" s="357"/>
      <c r="AD52" s="357"/>
      <c r="AE52" s="357"/>
      <c r="AF52" s="357"/>
      <c r="AG52" s="357"/>
      <c r="AH52" s="357"/>
      <c r="AI52" s="237"/>
      <c r="AJ52" s="237"/>
    </row>
    <row r="53" spans="8:36" ht="13.5" thickBot="1" x14ac:dyDescent="0.25">
      <c r="I53" s="759"/>
      <c r="J53" s="764"/>
      <c r="K53" s="764"/>
      <c r="L53" s="764"/>
      <c r="M53" s="765"/>
      <c r="P53" s="358"/>
      <c r="Q53" s="375" t="str">
        <f t="shared" si="3"/>
        <v>Ln53</v>
      </c>
      <c r="R53" s="503" t="str">
        <f>IF(AND(D15&gt;0,D16&gt;0,D18&gt;0,T43&lt;1),"WARN","OK")</f>
        <v>OK</v>
      </c>
      <c r="S53" s="506" t="s">
        <v>90</v>
      </c>
      <c r="T53" s="507"/>
      <c r="U53" s="357"/>
      <c r="V53" s="357"/>
      <c r="W53" s="357"/>
      <c r="X53" s="357"/>
      <c r="Y53" s="357"/>
      <c r="Z53" s="357"/>
      <c r="AA53" s="357"/>
      <c r="AB53" s="357"/>
      <c r="AC53" s="357"/>
      <c r="AD53" s="357"/>
      <c r="AE53" s="357"/>
      <c r="AF53" s="357"/>
      <c r="AG53" s="357"/>
      <c r="AH53" s="357"/>
      <c r="AI53" s="237"/>
      <c r="AJ53" s="237"/>
    </row>
    <row r="54" spans="8:36" ht="13.5" thickTop="1" x14ac:dyDescent="0.2">
      <c r="I54" s="650" t="str">
        <f>IF(C4&lt;&gt;9999,"","Env "&amp;Z23&amp;"  "&amp;AA23&amp;"  "&amp;AA24&amp;"  "&amp;AA25&amp;"  "&amp;AA26&amp;"     "&amp;AC23&amp;"  "&amp;AD23&amp;"  "&amp;AD24&amp;"  "&amp;AD25&amp;"  "&amp;AD26)</f>
        <v/>
      </c>
      <c r="P54" s="358"/>
      <c r="Q54" s="357"/>
      <c r="R54" s="357"/>
      <c r="S54" s="357"/>
      <c r="T54" s="357"/>
      <c r="U54" s="357"/>
      <c r="V54" s="357"/>
      <c r="W54" s="357"/>
      <c r="X54" s="357"/>
      <c r="Y54" s="357"/>
      <c r="Z54" s="357"/>
      <c r="AA54" s="357"/>
      <c r="AB54" s="357"/>
      <c r="AC54" s="357"/>
      <c r="AD54" s="357"/>
      <c r="AE54" s="357"/>
      <c r="AF54" s="357"/>
      <c r="AG54" s="357"/>
      <c r="AH54" s="357"/>
      <c r="AI54" s="237"/>
      <c r="AJ54" s="237"/>
    </row>
    <row r="55" spans="8:36" x14ac:dyDescent="0.2">
      <c r="I55" s="651" t="str">
        <f>IF(C4&lt;&gt;9999,"","Fuel  T "&amp;T19&amp;"   F "&amp;T18&amp;"      Load   0 "&amp;U37&amp;"  T "&amp;U38&amp;"  F "&amp;U39)</f>
        <v/>
      </c>
      <c r="P55" s="358"/>
      <c r="Q55" s="357"/>
      <c r="R55" s="357"/>
      <c r="S55" s="357"/>
      <c r="T55" s="357"/>
      <c r="U55" s="357"/>
      <c r="V55" s="357"/>
      <c r="W55" s="357"/>
      <c r="X55" s="357"/>
      <c r="Y55" s="357"/>
      <c r="Z55" s="357"/>
      <c r="AA55" s="357"/>
      <c r="AB55" s="357"/>
      <c r="AC55" s="357"/>
      <c r="AD55" s="357"/>
      <c r="AE55" s="357"/>
      <c r="AF55" s="357"/>
      <c r="AG55" s="357"/>
      <c r="AH55" s="357"/>
      <c r="AI55" s="237"/>
      <c r="AJ55" s="237"/>
    </row>
    <row r="56" spans="8:36" x14ac:dyDescent="0.2">
      <c r="P56" s="358"/>
      <c r="Q56" s="357"/>
      <c r="R56" s="357"/>
      <c r="S56" s="357"/>
      <c r="T56" s="357"/>
      <c r="U56" s="357"/>
      <c r="V56" s="357"/>
      <c r="W56" s="357"/>
      <c r="X56" s="357"/>
      <c r="Y56" s="357"/>
      <c r="Z56" s="357"/>
      <c r="AA56" s="357"/>
      <c r="AB56" s="357"/>
      <c r="AC56" s="357"/>
      <c r="AD56" s="357"/>
      <c r="AE56" s="357"/>
      <c r="AF56" s="357"/>
      <c r="AG56" s="357"/>
      <c r="AH56" s="357"/>
      <c r="AI56" s="237"/>
      <c r="AJ56" s="237"/>
    </row>
    <row r="59" spans="8:36" x14ac:dyDescent="0.2">
      <c r="I59" s="637"/>
    </row>
  </sheetData>
  <sheetProtection algorithmName="SHA-512" hashValue="SFoc7ohFiOO0WlHxlN0Alcz8dCeesojdO+sFhnI3NslKmoxUCfsobd/nFJnvfP50lk2K0Pirc4xG1pMy4SzOvw==" saltValue="BCjA8wWNyqEHjWehxty+tg==" spinCount="100000" sheet="1" selectLockedCells="1"/>
  <mergeCells count="44">
    <mergeCell ref="C4:D4"/>
    <mergeCell ref="B1:H1"/>
    <mergeCell ref="C2:E2"/>
    <mergeCell ref="J2:K2"/>
    <mergeCell ref="D3:F3"/>
    <mergeCell ref="J3:K3"/>
    <mergeCell ref="B7:B8"/>
    <mergeCell ref="C7:D8"/>
    <mergeCell ref="E7:F8"/>
    <mergeCell ref="B9:B10"/>
    <mergeCell ref="C9:D10"/>
    <mergeCell ref="E9:F10"/>
    <mergeCell ref="D18:E18"/>
    <mergeCell ref="C11:F11"/>
    <mergeCell ref="AA11:AB11"/>
    <mergeCell ref="AF11:AG11"/>
    <mergeCell ref="C12:F12"/>
    <mergeCell ref="AA12:AB12"/>
    <mergeCell ref="AF12:AG12"/>
    <mergeCell ref="AC13:AC15"/>
    <mergeCell ref="AH13:AH15"/>
    <mergeCell ref="D15:E15"/>
    <mergeCell ref="D16:E16"/>
    <mergeCell ref="D17:E17"/>
    <mergeCell ref="AF17:AG17"/>
    <mergeCell ref="B21:B22"/>
    <mergeCell ref="C21:F22"/>
    <mergeCell ref="C23:F23"/>
    <mergeCell ref="C24:F24"/>
    <mergeCell ref="AH37:AH39"/>
    <mergeCell ref="C25:F25"/>
    <mergeCell ref="D28:E28"/>
    <mergeCell ref="F28:H28"/>
    <mergeCell ref="D29:E29"/>
    <mergeCell ref="D30:E30"/>
    <mergeCell ref="F30:H30"/>
    <mergeCell ref="I51:I53"/>
    <mergeCell ref="J51:M53"/>
    <mergeCell ref="AF35:AG35"/>
    <mergeCell ref="AA36:AB36"/>
    <mergeCell ref="AF36:AG36"/>
    <mergeCell ref="AC37:AC39"/>
    <mergeCell ref="AF41:AG41"/>
    <mergeCell ref="AA35:AB35"/>
  </mergeCells>
  <conditionalFormatting sqref="T37:T38">
    <cfRule type="expression" dxfId="1241" priority="13" stopIfTrue="1">
      <formula>S37=""</formula>
    </cfRule>
  </conditionalFormatting>
  <conditionalFormatting sqref="I26 I28">
    <cfRule type="expression" dxfId="1240" priority="14" stopIfTrue="1">
      <formula>E7=""</formula>
    </cfRule>
  </conditionalFormatting>
  <conditionalFormatting sqref="I27 I29:I30">
    <cfRule type="expression" dxfId="1239" priority="15" stopIfTrue="1">
      <formula>C9=""</formula>
    </cfRule>
  </conditionalFormatting>
  <conditionalFormatting sqref="D12">
    <cfRule type="expression" dxfId="1238" priority="16" stopIfTrue="1">
      <formula>OR(D12&gt;#REF!,D11+D12&gt;#REF!)</formula>
    </cfRule>
  </conditionalFormatting>
  <conditionalFormatting sqref="D11">
    <cfRule type="expression" dxfId="1237" priority="17" stopIfTrue="1">
      <formula>OR(D11&gt;#REF!,D11+D12&gt;#REF!)</formula>
    </cfRule>
  </conditionalFormatting>
  <conditionalFormatting sqref="U37:U39 V19">
    <cfRule type="expression" dxfId="1236" priority="18" stopIfTrue="1">
      <formula>S19=""</formula>
    </cfRule>
  </conditionalFormatting>
  <conditionalFormatting sqref="C25">
    <cfRule type="expression" dxfId="1235" priority="19" stopIfTrue="1">
      <formula>AND(C7="",E7+C9+E9&gt;0)</formula>
    </cfRule>
  </conditionalFormatting>
  <conditionalFormatting sqref="B30">
    <cfRule type="expression" dxfId="1234" priority="20" stopIfTrue="1">
      <formula>D29&gt;D28</formula>
    </cfRule>
  </conditionalFormatting>
  <conditionalFormatting sqref="D30:E30">
    <cfRule type="expression" dxfId="1233" priority="21" stopIfTrue="1">
      <formula>D29&gt;D28</formula>
    </cfRule>
  </conditionalFormatting>
  <conditionalFormatting sqref="F30:H30">
    <cfRule type="expression" dxfId="1232" priority="22" stopIfTrue="1">
      <formula>D29&gt;D28</formula>
    </cfRule>
  </conditionalFormatting>
  <conditionalFormatting sqref="B23 B25">
    <cfRule type="cellIs" dxfId="1231" priority="23" stopIfTrue="1" operator="notEqual">
      <formula>""</formula>
    </cfRule>
  </conditionalFormatting>
  <conditionalFormatting sqref="C24:F24">
    <cfRule type="cellIs" dxfId="1230" priority="24" stopIfTrue="1" operator="notEqual">
      <formula>""</formula>
    </cfRule>
  </conditionalFormatting>
  <conditionalFormatting sqref="B24">
    <cfRule type="cellIs" dxfId="1229" priority="25" stopIfTrue="1" operator="notEqual">
      <formula>""</formula>
    </cfRule>
  </conditionalFormatting>
  <conditionalFormatting sqref="R46:R53 R29:R31 R8 R10">
    <cfRule type="cellIs" dxfId="1228" priority="26" stopIfTrue="1" operator="notEqual">
      <formula>""</formula>
    </cfRule>
  </conditionalFormatting>
  <conditionalFormatting sqref="S37:S39">
    <cfRule type="expression" dxfId="1227" priority="27" stopIfTrue="1">
      <formula>S37=""</formula>
    </cfRule>
  </conditionalFormatting>
  <conditionalFormatting sqref="R18">
    <cfRule type="cellIs" dxfId="1226" priority="28" stopIfTrue="1" operator="notEqual">
      <formula>""</formula>
    </cfRule>
  </conditionalFormatting>
  <conditionalFormatting sqref="J5">
    <cfRule type="expression" dxfId="1225" priority="29" stopIfTrue="1">
      <formula>expired=TRUE</formula>
    </cfRule>
  </conditionalFormatting>
  <conditionalFormatting sqref="B1:H1">
    <cfRule type="expression" dxfId="1224" priority="30" stopIfTrue="1">
      <formula>expired=TRUE</formula>
    </cfRule>
    <cfRule type="expression" dxfId="1223" priority="31" stopIfTrue="1">
      <formula>old_ver=TRUE</formula>
    </cfRule>
  </conditionalFormatting>
  <conditionalFormatting sqref="I3">
    <cfRule type="expression" dxfId="1222" priority="32" stopIfTrue="1">
      <formula>D3=""</formula>
    </cfRule>
  </conditionalFormatting>
  <conditionalFormatting sqref="J2">
    <cfRule type="expression" dxfId="1221" priority="33" stopIfTrue="1">
      <formula>D3=""</formula>
    </cfRule>
  </conditionalFormatting>
  <conditionalFormatting sqref="L2">
    <cfRule type="expression" dxfId="1220" priority="34" stopIfTrue="1">
      <formula>D3=""</formula>
    </cfRule>
  </conditionalFormatting>
  <conditionalFormatting sqref="L3">
    <cfRule type="expression" dxfId="1219" priority="35" stopIfTrue="1">
      <formula>D3=""</formula>
    </cfRule>
  </conditionalFormatting>
  <conditionalFormatting sqref="J3:K3">
    <cfRule type="expression" dxfId="1218" priority="36" stopIfTrue="1">
      <formula>D3=""</formula>
    </cfRule>
  </conditionalFormatting>
  <conditionalFormatting sqref="I2">
    <cfRule type="expression" dxfId="1217" priority="37" stopIfTrue="1">
      <formula>AND(D3="",C2="")</formula>
    </cfRule>
  </conditionalFormatting>
  <conditionalFormatting sqref="V21">
    <cfRule type="expression" dxfId="1216" priority="12" stopIfTrue="1">
      <formula>T21=""</formula>
    </cfRule>
  </conditionalFormatting>
  <conditionalFormatting sqref="E21:E22">
    <cfRule type="expression" dxfId="1215" priority="38" stopIfTrue="1">
      <formula>OR(AC19="out",AF19="out")</formula>
    </cfRule>
  </conditionalFormatting>
  <conditionalFormatting sqref="M17">
    <cfRule type="expression" dxfId="1214" priority="39" stopIfTrue="1">
      <formula>AE19="out"</formula>
    </cfRule>
  </conditionalFormatting>
  <conditionalFormatting sqref="K17">
    <cfRule type="expression" dxfId="1213" priority="40" stopIfTrue="1">
      <formula>AE19&lt;&gt;"OK"</formula>
    </cfRule>
  </conditionalFormatting>
  <conditionalFormatting sqref="F21:F22">
    <cfRule type="expression" dxfId="1212" priority="41" stopIfTrue="1">
      <formula>OR(AE19="out",AG19="out")</formula>
    </cfRule>
  </conditionalFormatting>
  <conditionalFormatting sqref="C21:C22">
    <cfRule type="expression" dxfId="1211" priority="42" stopIfTrue="1">
      <formula>OR(AA19="out",AE19="out")</formula>
    </cfRule>
  </conditionalFormatting>
  <conditionalFormatting sqref="D21:D22">
    <cfRule type="expression" dxfId="1210" priority="43" stopIfTrue="1">
      <formula>OR(AB19="out",#REF!="out")</formula>
    </cfRule>
  </conditionalFormatting>
  <conditionalFormatting sqref="F12">
    <cfRule type="expression" dxfId="1209" priority="44" stopIfTrue="1">
      <formula>OR(F12&gt;#REF!,F11+F12&gt;#REF!)</formula>
    </cfRule>
  </conditionalFormatting>
  <conditionalFormatting sqref="F11">
    <cfRule type="expression" dxfId="1208" priority="45" stopIfTrue="1">
      <formula>OR(F11&gt;#REF!,F11+F12&gt;#REF!)</formula>
    </cfRule>
  </conditionalFormatting>
  <conditionalFormatting sqref="K20">
    <cfRule type="expression" dxfId="1207" priority="46" stopIfTrue="1">
      <formula>AE43&lt;&gt;"OK"</formula>
    </cfRule>
  </conditionalFormatting>
  <conditionalFormatting sqref="J16">
    <cfRule type="expression" dxfId="1206" priority="47" stopIfTrue="1">
      <formula>R8&lt;&gt;"OK"</formula>
    </cfRule>
  </conditionalFormatting>
  <conditionalFormatting sqref="J19">
    <cfRule type="expression" dxfId="1205" priority="48" stopIfTrue="1">
      <formula>R10&lt;&gt;"OK"</formula>
    </cfRule>
  </conditionalFormatting>
  <conditionalFormatting sqref="B21">
    <cfRule type="expression" dxfId="1204" priority="49" stopIfTrue="1">
      <formula>R10&lt;&gt;"OK"</formula>
    </cfRule>
    <cfRule type="expression" dxfId="1203" priority="50" stopIfTrue="1">
      <formula>R11&lt;&gt;"OK"</formula>
    </cfRule>
  </conditionalFormatting>
  <conditionalFormatting sqref="V27">
    <cfRule type="expression" dxfId="1202" priority="10" stopIfTrue="1">
      <formula>T27=""</formula>
    </cfRule>
  </conditionalFormatting>
  <conditionalFormatting sqref="V26">
    <cfRule type="expression" dxfId="1201" priority="11" stopIfTrue="1">
      <formula>S26=""</formula>
    </cfRule>
  </conditionalFormatting>
  <conditionalFormatting sqref="D15:E15">
    <cfRule type="expression" dxfId="1200" priority="51" stopIfTrue="1">
      <formula>R18="err"</formula>
    </cfRule>
  </conditionalFormatting>
  <conditionalFormatting sqref="F23">
    <cfRule type="expression" dxfId="1199" priority="52" stopIfTrue="1">
      <formula>#REF!&lt;&gt;"OK"</formula>
    </cfRule>
  </conditionalFormatting>
  <conditionalFormatting sqref="S12:S15">
    <cfRule type="expression" dxfId="1198" priority="9" stopIfTrue="1">
      <formula>S12=""</formula>
    </cfRule>
  </conditionalFormatting>
  <conditionalFormatting sqref="M16">
    <cfRule type="expression" dxfId="1197" priority="53" stopIfTrue="1">
      <formula>J16&gt;U8</formula>
    </cfRule>
  </conditionalFormatting>
  <conditionalFormatting sqref="V18">
    <cfRule type="expression" dxfId="1196" priority="54" stopIfTrue="1">
      <formula>S18=""</formula>
    </cfRule>
  </conditionalFormatting>
  <conditionalFormatting sqref="E12">
    <cfRule type="expression" dxfId="1195" priority="55" stopIfTrue="1">
      <formula>OR(E12&gt;Y26,E11+E12&gt;Y44)</formula>
    </cfRule>
  </conditionalFormatting>
  <conditionalFormatting sqref="E11">
    <cfRule type="expression" dxfId="1194" priority="56" stopIfTrue="1">
      <formula>OR(E11&gt;Y25,E11+E12&gt;Y44)</formula>
    </cfRule>
  </conditionalFormatting>
  <conditionalFormatting sqref="B22">
    <cfRule type="expression" dxfId="1193" priority="57" stopIfTrue="1">
      <formula>R11&lt;&gt;"OK"</formula>
    </cfRule>
    <cfRule type="expression" dxfId="1192" priority="58" stopIfTrue="1">
      <formula>R29&lt;&gt;"OK"</formula>
    </cfRule>
  </conditionalFormatting>
  <conditionalFormatting sqref="C12">
    <cfRule type="expression" dxfId="1191" priority="59" stopIfTrue="1">
      <formula>OR(C12&gt;V30,C11+C12&gt;V31)</formula>
    </cfRule>
  </conditionalFormatting>
  <conditionalFormatting sqref="C11">
    <cfRule type="expression" dxfId="1190" priority="60" stopIfTrue="1">
      <formula>OR(C11&gt;V29,C11+C12&gt;V31)</formula>
    </cfRule>
  </conditionalFormatting>
  <conditionalFormatting sqref="C23:E23">
    <cfRule type="expression" dxfId="1189" priority="61" stopIfTrue="1">
      <formula>R53&lt;&gt;"OK"</formula>
    </cfRule>
  </conditionalFormatting>
  <conditionalFormatting sqref="C7:D8">
    <cfRule type="expression" dxfId="1188" priority="62" stopIfTrue="1">
      <formula>R46&lt;&gt;"OK"</formula>
    </cfRule>
  </conditionalFormatting>
  <conditionalFormatting sqref="D18:E18">
    <cfRule type="expression" dxfId="1187" priority="63" stopIfTrue="1">
      <formula>R51&lt;&gt;"OK"</formula>
    </cfRule>
  </conditionalFormatting>
  <conditionalFormatting sqref="B18 B20">
    <cfRule type="expression" dxfId="1186" priority="64" stopIfTrue="1">
      <formula>R51&lt;&gt;"OK"</formula>
    </cfRule>
  </conditionalFormatting>
  <conditionalFormatting sqref="D19">
    <cfRule type="expression" dxfId="1185" priority="65" stopIfTrue="1">
      <formula>R53&lt;&gt;"ok"</formula>
    </cfRule>
  </conditionalFormatting>
  <conditionalFormatting sqref="S21">
    <cfRule type="expression" dxfId="1184" priority="8" stopIfTrue="1">
      <formula>T21=""</formula>
    </cfRule>
  </conditionalFormatting>
  <conditionalFormatting sqref="S22:S23">
    <cfRule type="expression" dxfId="1183" priority="7" stopIfTrue="1">
      <formula>S22=""</formula>
    </cfRule>
  </conditionalFormatting>
  <conditionalFormatting sqref="S20">
    <cfRule type="expression" dxfId="1182" priority="5">
      <formula>AND(OR(T20="",LEFT(T20,1)="F"),T18&lt;&gt;T19)</formula>
    </cfRule>
    <cfRule type="expression" dxfId="1181" priority="6">
      <formula>AND(LEFT(T20,1)&lt;&gt;"F",T18=T19)</formula>
    </cfRule>
  </conditionalFormatting>
  <conditionalFormatting sqref="R20">
    <cfRule type="cellIs" dxfId="1180" priority="4" stopIfTrue="1" operator="notEqual">
      <formula>""</formula>
    </cfRule>
  </conditionalFormatting>
  <conditionalFormatting sqref="V20">
    <cfRule type="expression" dxfId="1179" priority="3" stopIfTrue="1">
      <formula>T20=""</formula>
    </cfRule>
  </conditionalFormatting>
  <conditionalFormatting sqref="R11">
    <cfRule type="cellIs" dxfId="1178" priority="2" stopIfTrue="1" operator="notEqual">
      <formula>""</formula>
    </cfRule>
  </conditionalFormatting>
  <conditionalFormatting sqref="S19">
    <cfRule type="expression" dxfId="1177" priority="1" stopIfTrue="1">
      <formula>#REF!=""</formula>
    </cfRule>
  </conditionalFormatting>
  <dataValidations count="3">
    <dataValidation type="list" showInputMessage="1" showErrorMessage="1" errorTitle="STANDARD FUELING LEVEL" error="STANDARD FUELING LEVEL MUST BE ENTERED:_x000a_TABS,_x000a_Measured,_x000a_FULL" sqref="T20" xr:uid="{B7ED9E55-611B-40CB-90E2-9BFB32CE5B6D}">
      <formula1>"TABS,Measured,FULL"</formula1>
    </dataValidation>
    <dataValidation type="date" allowBlank="1" showInputMessage="1" showErrorMessage="1" errorTitle="Input Error" error="A valid date must be entered into this cell.  Enter as  mm/dd/yy  _x000a__x000a_" sqref="C2:E2" xr:uid="{13E7EF9D-F2BB-4F7E-9818-B2A229262E3F}">
      <formula1>36526</formula1>
      <formula2>44196</formula2>
    </dataValidation>
    <dataValidation type="custom" allowBlank="1" showInputMessage="1" showErrorMessage="1" errorTitle="Input Error" error="Entry must be a NUMERIC VALUE!" sqref="D15:E17 C7:F12" xr:uid="{35EEC0A2-1142-4450-A89E-EF94F5CA7D6F}">
      <formula1>ISNUMBER(C7)</formula1>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indexed="61"/>
    <pageSetUpPr fitToPage="1"/>
  </sheetPr>
  <dimension ref="B1:AJ59"/>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5" width="4.7109375" hidden="1" customWidth="1"/>
    <col min="16" max="16" width="11.7109375" style="41" hidden="1" customWidth="1"/>
    <col min="17" max="17" width="9.7109375" style="41" hidden="1" customWidth="1"/>
    <col min="18" max="18" width="8.42578125" style="41" hidden="1" customWidth="1"/>
    <col min="19" max="19" width="19" style="41" hidden="1" customWidth="1"/>
    <col min="20" max="22" width="7.7109375" style="41" hidden="1" customWidth="1"/>
    <col min="23" max="23" width="29.42578125" style="41" hidden="1" customWidth="1"/>
    <col min="24" max="24" width="4.7109375" style="41" hidden="1" customWidth="1"/>
    <col min="25" max="25" width="3.5703125" style="41" hidden="1" customWidth="1"/>
    <col min="26" max="33" width="9.140625" style="41" hidden="1" customWidth="1"/>
    <col min="34" max="34" width="9.5703125" style="41" hidden="1" customWidth="1"/>
    <col min="35" max="36" width="9" hidden="1" customWidth="1"/>
    <col min="37" max="37" width="8.140625" customWidth="1"/>
  </cols>
  <sheetData>
    <row r="1" spans="2:36" ht="22.5" customHeight="1" thickBot="1" x14ac:dyDescent="0.25">
      <c r="B1" s="807" t="str">
        <f ca="1">status_msg</f>
        <v/>
      </c>
      <c r="C1" s="807"/>
      <c r="D1" s="807"/>
      <c r="E1" s="807"/>
      <c r="F1" s="807"/>
      <c r="G1" s="807"/>
      <c r="H1" s="807"/>
      <c r="I1" s="303" t="str">
        <f>Q1</f>
        <v>CAP 921</v>
      </c>
      <c r="J1" s="303" t="str">
        <f>R1</f>
        <v>N697CP</v>
      </c>
      <c r="K1" s="304"/>
      <c r="L1" s="301" t="str">
        <f>S1</f>
        <v xml:space="preserve">(180hp C 172S) </v>
      </c>
      <c r="M1" s="302"/>
      <c r="P1" s="354" t="s">
        <v>178</v>
      </c>
      <c r="Q1" s="355" t="s">
        <v>288</v>
      </c>
      <c r="R1" s="355" t="s">
        <v>289</v>
      </c>
      <c r="S1" s="356" t="s">
        <v>281</v>
      </c>
      <c r="T1" s="356"/>
      <c r="U1" s="357"/>
      <c r="V1" s="357"/>
      <c r="W1" s="357"/>
      <c r="X1" s="357"/>
      <c r="Y1" s="357"/>
      <c r="Z1" s="357"/>
      <c r="AA1" s="357"/>
      <c r="AB1" s="357"/>
      <c r="AC1" s="357"/>
      <c r="AD1" s="357"/>
      <c r="AE1" s="357"/>
      <c r="AF1" s="357"/>
      <c r="AG1" s="357"/>
      <c r="AH1" s="357"/>
      <c r="AI1" s="237"/>
      <c r="AJ1" s="237"/>
    </row>
    <row r="2" spans="2:36" ht="15" customHeight="1" thickTop="1" thickBot="1" x14ac:dyDescent="0.25">
      <c r="B2" s="137" t="s">
        <v>131</v>
      </c>
      <c r="C2" s="808"/>
      <c r="D2" s="808"/>
      <c r="E2" s="809"/>
      <c r="F2" s="142" t="str">
        <f>IF(D3="","mm/dd/yy","(if not today)")</f>
        <v>mm/dd/yy</v>
      </c>
      <c r="H2" s="129"/>
      <c r="I2" s="138" t="s">
        <v>131</v>
      </c>
      <c r="J2" s="810" t="str">
        <f>IF(C3="","","Mission Symbol")&amp;"   Mission No:"</f>
        <v xml:space="preserve">   Mission No:</v>
      </c>
      <c r="K2" s="810"/>
      <c r="L2" s="130" t="s">
        <v>130</v>
      </c>
      <c r="P2" s="358"/>
      <c r="Q2" s="359" t="s">
        <v>173</v>
      </c>
      <c r="R2" s="359" t="s">
        <v>145</v>
      </c>
      <c r="S2" s="360" t="s">
        <v>172</v>
      </c>
      <c r="T2" s="361"/>
      <c r="U2" s="357"/>
      <c r="V2" s="357"/>
      <c r="W2" s="357"/>
      <c r="X2" s="357"/>
      <c r="Y2" s="357"/>
      <c r="Z2" s="357"/>
      <c r="AA2" s="357"/>
      <c r="AB2" s="357"/>
      <c r="AC2" s="357"/>
      <c r="AD2" s="357"/>
      <c r="AE2" s="357"/>
      <c r="AF2" s="357"/>
      <c r="AG2" s="357"/>
      <c r="AH2" s="357"/>
      <c r="AI2" s="237"/>
      <c r="AJ2" s="237"/>
    </row>
    <row r="3" spans="2:36" ht="15" customHeight="1" thickTop="1" thickBot="1" x14ac:dyDescent="0.25">
      <c r="B3" s="140" t="s">
        <v>137</v>
      </c>
      <c r="C3" s="136"/>
      <c r="D3" s="811"/>
      <c r="E3" s="811"/>
      <c r="F3" s="812"/>
      <c r="I3" s="131" t="str">
        <f ca="1">IF(AND(D3="",C2=""),"",IF(C2="",TODAY(),C2))</f>
        <v/>
      </c>
      <c r="J3" s="813" t="str">
        <f>IF(C3="","",IF(D3="","",C3))&amp;"      "&amp;IF(D3="","",D3)</f>
        <v xml:space="preserve">      </v>
      </c>
      <c r="K3" s="814"/>
      <c r="L3" s="132" t="str">
        <f>IF(C4="","",C4)</f>
        <v/>
      </c>
      <c r="P3" s="362"/>
      <c r="Q3" s="363"/>
      <c r="R3" s="363"/>
      <c r="S3" s="357"/>
      <c r="T3" s="357"/>
      <c r="U3" s="357"/>
      <c r="V3" s="357"/>
      <c r="W3" s="357"/>
      <c r="X3" s="357"/>
      <c r="Y3" s="357"/>
      <c r="Z3" s="364"/>
      <c r="AA3" s="357"/>
      <c r="AB3" s="365"/>
      <c r="AC3" s="357"/>
      <c r="AD3" s="357"/>
      <c r="AE3" s="357"/>
      <c r="AF3" s="357"/>
      <c r="AG3" s="357"/>
      <c r="AH3" s="357"/>
      <c r="AI3" s="237"/>
      <c r="AJ3" s="237"/>
    </row>
    <row r="4" spans="2:36" ht="12" customHeight="1" thickTop="1" x14ac:dyDescent="0.2">
      <c r="B4" s="140" t="s">
        <v>130</v>
      </c>
      <c r="C4" s="805"/>
      <c r="D4" s="806"/>
      <c r="E4" s="140"/>
      <c r="I4" s="703" t="s">
        <v>287</v>
      </c>
      <c r="J4" s="689"/>
      <c r="K4" s="688"/>
      <c r="L4" s="688"/>
      <c r="M4" s="688"/>
      <c r="P4" s="553" t="s">
        <v>222</v>
      </c>
      <c r="Q4" s="366"/>
      <c r="R4" s="366"/>
      <c r="S4" s="357"/>
      <c r="T4" s="367" t="s">
        <v>98</v>
      </c>
      <c r="U4" s="368"/>
      <c r="V4" s="369" t="s">
        <v>99</v>
      </c>
      <c r="W4" s="357"/>
      <c r="X4" s="357"/>
      <c r="Y4" s="357"/>
      <c r="Z4" s="357"/>
      <c r="AA4" s="357"/>
      <c r="AB4" s="357"/>
      <c r="AC4" s="357"/>
      <c r="AD4" s="357"/>
      <c r="AE4" s="357"/>
      <c r="AF4" s="357"/>
      <c r="AG4" s="357"/>
      <c r="AH4" s="357"/>
      <c r="AI4" s="237"/>
      <c r="AJ4" s="237"/>
    </row>
    <row r="5" spans="2:36" ht="12" customHeight="1" x14ac:dyDescent="0.2">
      <c r="I5" s="35"/>
      <c r="J5" s="36"/>
      <c r="K5" s="36"/>
      <c r="L5" s="36"/>
      <c r="M5" s="134" t="str">
        <f>"Release ID:   "&amp;release_nbr&amp;"    "&amp;TEXT(release_date,"dd mmm yYYy  ")</f>
        <v xml:space="preserve">Release ID:   R1    21 Mar 2020  </v>
      </c>
      <c r="P5" s="362"/>
      <c r="Q5" s="357"/>
      <c r="R5" s="357"/>
      <c r="S5" s="357"/>
      <c r="T5" s="357"/>
      <c r="U5" s="357"/>
      <c r="V5" s="357"/>
      <c r="W5" s="357"/>
      <c r="X5" s="357"/>
      <c r="Y5" s="357"/>
      <c r="Z5" s="357"/>
      <c r="AA5" s="357"/>
      <c r="AB5" s="357"/>
      <c r="AC5" s="357"/>
      <c r="AD5" s="357"/>
      <c r="AE5" s="357"/>
      <c r="AF5" s="357"/>
      <c r="AG5" s="357"/>
      <c r="AH5" s="357"/>
      <c r="AI5" s="237"/>
      <c r="AJ5" s="237"/>
    </row>
    <row r="6" spans="2:36" ht="12.75" customHeight="1" thickBot="1" x14ac:dyDescent="0.35">
      <c r="B6" s="3" t="s">
        <v>31</v>
      </c>
      <c r="I6" s="37" t="s">
        <v>0</v>
      </c>
      <c r="J6" s="38" t="s">
        <v>1</v>
      </c>
      <c r="K6" s="38" t="s">
        <v>2</v>
      </c>
      <c r="L6" s="39" t="s">
        <v>97</v>
      </c>
      <c r="M6" s="133" t="s">
        <v>3</v>
      </c>
      <c r="P6" s="362"/>
      <c r="Q6" s="370" t="s">
        <v>120</v>
      </c>
      <c r="R6" s="371"/>
      <c r="S6" s="371"/>
      <c r="T6" s="371"/>
      <c r="U6" s="372" t="s">
        <v>1</v>
      </c>
      <c r="V6" s="372" t="s">
        <v>2</v>
      </c>
      <c r="W6" s="373" t="s">
        <v>179</v>
      </c>
      <c r="X6" s="357"/>
      <c r="Y6" s="357"/>
      <c r="Z6" s="357"/>
      <c r="AA6" s="357"/>
      <c r="AB6" s="374" t="s">
        <v>163</v>
      </c>
      <c r="AC6" s="371"/>
      <c r="AD6" s="371"/>
      <c r="AE6" s="371"/>
      <c r="AF6" s="371"/>
      <c r="AG6" s="371"/>
      <c r="AH6" s="357"/>
      <c r="AI6" s="237"/>
      <c r="AJ6" s="237"/>
    </row>
    <row r="7" spans="2:36" ht="15" customHeight="1" thickTop="1" thickBot="1" x14ac:dyDescent="0.25">
      <c r="B7" s="803" t="s">
        <v>32</v>
      </c>
      <c r="C7" s="802"/>
      <c r="D7" s="804"/>
      <c r="E7" s="802"/>
      <c r="F7" s="800"/>
      <c r="H7" s="1"/>
      <c r="I7" s="13" t="s">
        <v>4</v>
      </c>
      <c r="J7" s="188">
        <f>U7</f>
        <v>1732.85</v>
      </c>
      <c r="K7" s="67">
        <f>V7</f>
        <v>42.25</v>
      </c>
      <c r="L7" s="68">
        <f>ROUND(J7*K7/1000,5)</f>
        <v>73.212909999999994</v>
      </c>
      <c r="M7" s="586" t="str">
        <f>IF(W7="","",W7)</f>
        <v>W/B: 20-APR-2015 Yingling Aircraft Inc.</v>
      </c>
      <c r="P7" s="362"/>
      <c r="Q7" s="375" t="str">
        <f>"Ln"&amp;ROW()</f>
        <v>Ln7</v>
      </c>
      <c r="R7" s="376"/>
      <c r="S7" s="377" t="s">
        <v>4</v>
      </c>
      <c r="T7" s="378"/>
      <c r="U7" s="379">
        <v>1732.85</v>
      </c>
      <c r="V7" s="380">
        <v>42.25</v>
      </c>
      <c r="W7" s="584" t="s">
        <v>307</v>
      </c>
      <c r="X7" s="357"/>
      <c r="Y7" s="357"/>
      <c r="Z7" s="357"/>
      <c r="AA7" s="357"/>
      <c r="AB7" s="357"/>
      <c r="AC7" s="382"/>
      <c r="AD7" s="383" t="s">
        <v>162</v>
      </c>
      <c r="AE7" s="357"/>
      <c r="AF7" s="357"/>
      <c r="AG7" s="357"/>
      <c r="AH7" s="357"/>
      <c r="AI7" s="237"/>
      <c r="AJ7" s="237"/>
    </row>
    <row r="8" spans="2:36" ht="15" customHeight="1" thickTop="1" thickBot="1" x14ac:dyDescent="0.25">
      <c r="B8" s="803"/>
      <c r="C8" s="802"/>
      <c r="D8" s="804"/>
      <c r="E8" s="802"/>
      <c r="F8" s="800"/>
      <c r="H8" s="1"/>
      <c r="I8" s="125" t="s">
        <v>10</v>
      </c>
      <c r="J8" s="189">
        <f>D15*6</f>
        <v>0</v>
      </c>
      <c r="K8" s="69">
        <f>U18</f>
        <v>48</v>
      </c>
      <c r="L8" s="72">
        <f>ROUND((J8*K8)/1000,5)</f>
        <v>0</v>
      </c>
      <c r="M8" s="11" t="str">
        <f>V18&amp;" lbs Max ("&amp;T18&amp;" gals)  "&amp;IF(OR(T18=T19,T19="",T19=0),"",V19&amp;" lbs Tabs ("&amp;T19&amp;" gals)")</f>
        <v>318 lbs Max (53 gals)  210 lbs Tabs (35 gals)</v>
      </c>
      <c r="P8" s="362"/>
      <c r="Q8" s="375" t="str">
        <f t="shared" ref="Q8:Q34" si="0">"Ln"&amp;ROW()</f>
        <v>Ln8</v>
      </c>
      <c r="R8" s="384" t="str">
        <f ca="1">IF(J16&gt;U8,"ERR","OK")</f>
        <v>OK</v>
      </c>
      <c r="S8" s="377" t="s">
        <v>168</v>
      </c>
      <c r="T8" s="378"/>
      <c r="U8" s="385">
        <v>2550</v>
      </c>
      <c r="V8" s="357"/>
      <c r="W8" s="357"/>
      <c r="X8" s="357"/>
      <c r="Y8" s="386"/>
      <c r="Z8" s="387"/>
      <c r="AA8" s="388">
        <v>2550</v>
      </c>
      <c r="AC8" s="624">
        <f>AA8</f>
        <v>2550</v>
      </c>
      <c r="AD8" s="357"/>
      <c r="AF8" s="389">
        <v>41</v>
      </c>
      <c r="AH8" s="390">
        <v>47.3</v>
      </c>
      <c r="AI8" s="237"/>
      <c r="AJ8" s="237"/>
    </row>
    <row r="9" spans="2:36" ht="15" customHeight="1" thickTop="1" thickBot="1" x14ac:dyDescent="0.25">
      <c r="B9" s="803" t="s">
        <v>33</v>
      </c>
      <c r="C9" s="802"/>
      <c r="D9" s="804"/>
      <c r="E9" s="802"/>
      <c r="F9" s="800"/>
      <c r="H9" s="1"/>
      <c r="I9" s="125" t="s">
        <v>11</v>
      </c>
      <c r="J9" s="189">
        <f>C7+E7</f>
        <v>0</v>
      </c>
      <c r="K9" s="69">
        <f>U26</f>
        <v>37</v>
      </c>
      <c r="L9" s="72">
        <f>ROUND((J9*K9)/1000,5)</f>
        <v>0</v>
      </c>
      <c r="M9" s="11" t="str">
        <f>IF(W26="","",W26)</f>
        <v/>
      </c>
      <c r="P9" s="362"/>
      <c r="Q9" s="375" t="str">
        <f t="shared" si="0"/>
        <v>Ln9</v>
      </c>
      <c r="R9" s="391"/>
      <c r="S9" s="377" t="s">
        <v>169</v>
      </c>
      <c r="T9" s="378"/>
      <c r="U9" s="385">
        <v>2557</v>
      </c>
      <c r="V9" s="392"/>
      <c r="W9" s="393" t="s">
        <v>176</v>
      </c>
      <c r="X9" s="357"/>
      <c r="Y9" s="394"/>
      <c r="Z9" s="395"/>
      <c r="AD9" s="357"/>
      <c r="AI9" s="237"/>
      <c r="AJ9" s="237"/>
    </row>
    <row r="10" spans="2:36" ht="15" customHeight="1" thickTop="1" thickBot="1" x14ac:dyDescent="0.3">
      <c r="B10" s="803"/>
      <c r="C10" s="802"/>
      <c r="D10" s="804"/>
      <c r="E10" s="802"/>
      <c r="F10" s="800"/>
      <c r="H10" s="1"/>
      <c r="I10" s="125" t="s">
        <v>12</v>
      </c>
      <c r="J10" s="189">
        <f>C9+E9</f>
        <v>0</v>
      </c>
      <c r="K10" s="69">
        <f>U27</f>
        <v>73</v>
      </c>
      <c r="L10" s="72">
        <f>ROUND((J10*K10)/1000,5)</f>
        <v>0</v>
      </c>
      <c r="M10" s="11" t="str">
        <f>IF(W27="","",W27)</f>
        <v/>
      </c>
      <c r="P10" s="362"/>
      <c r="Q10" s="375" t="str">
        <f t="shared" si="0"/>
        <v>Ln10</v>
      </c>
      <c r="R10" s="384" t="str">
        <f>IF(U8=U10,"OK",IF(J20&gt;U10,"WARN","OK"))</f>
        <v>OK</v>
      </c>
      <c r="S10" s="377" t="s">
        <v>170</v>
      </c>
      <c r="T10" s="378"/>
      <c r="U10" s="385">
        <v>2550</v>
      </c>
      <c r="V10" s="392"/>
      <c r="W10" s="393" t="s">
        <v>176</v>
      </c>
      <c r="X10" s="357"/>
      <c r="Y10" s="396" t="s">
        <v>155</v>
      </c>
      <c r="Z10" s="395"/>
      <c r="AD10" s="357"/>
      <c r="AI10" s="237"/>
      <c r="AJ10" s="237"/>
    </row>
    <row r="11" spans="2:36" ht="15" customHeight="1" thickTop="1" thickBot="1" x14ac:dyDescent="0.3">
      <c r="B11" s="6" t="s">
        <v>25</v>
      </c>
      <c r="C11" s="800"/>
      <c r="D11" s="801"/>
      <c r="E11" s="801"/>
      <c r="F11" s="802"/>
      <c r="H11" s="1"/>
      <c r="I11" s="19" t="s">
        <v>13</v>
      </c>
      <c r="J11" s="189">
        <f>C11</f>
        <v>0</v>
      </c>
      <c r="K11" s="69">
        <f>U29</f>
        <v>95</v>
      </c>
      <c r="L11" s="72">
        <f>ROUND((J11*K11)/1000,5)</f>
        <v>0</v>
      </c>
      <c r="M11" s="11" t="str">
        <f>V29&amp;" lbs max ("&amp;V31&amp;" max baggage 1+2)"</f>
        <v>120 lbs max (120 max baggage 1+2)</v>
      </c>
      <c r="P11" s="362"/>
      <c r="Q11" s="375" t="str">
        <f t="shared" si="0"/>
        <v>Ln11</v>
      </c>
      <c r="R11" s="384" t="str">
        <f>IF(U8=U10,"OK",IF(J19&gt;U11,"WARN","OK"))</f>
        <v>OK</v>
      </c>
      <c r="S11" s="397" t="s">
        <v>171</v>
      </c>
      <c r="T11" s="398"/>
      <c r="U11" s="399">
        <f>U10</f>
        <v>2550</v>
      </c>
      <c r="V11" s="357"/>
      <c r="W11" s="357"/>
      <c r="X11" s="357"/>
      <c r="Y11" s="396" t="s">
        <v>50</v>
      </c>
      <c r="Z11" s="395"/>
      <c r="AA11" s="766" t="s">
        <v>1</v>
      </c>
      <c r="AB11" s="766"/>
      <c r="AD11" s="357"/>
      <c r="AF11" s="766" t="s">
        <v>154</v>
      </c>
      <c r="AG11" s="766"/>
      <c r="AI11" s="237"/>
      <c r="AJ11" s="237"/>
    </row>
    <row r="12" spans="2:36" ht="15" customHeight="1" thickTop="1" thickBot="1" x14ac:dyDescent="0.3">
      <c r="B12" s="6" t="s">
        <v>26</v>
      </c>
      <c r="C12" s="800"/>
      <c r="D12" s="801"/>
      <c r="E12" s="801"/>
      <c r="F12" s="802"/>
      <c r="H12" s="1"/>
      <c r="I12" s="19" t="s">
        <v>14</v>
      </c>
      <c r="J12" s="189">
        <f>C12</f>
        <v>0</v>
      </c>
      <c r="K12" s="69">
        <f>U30</f>
        <v>123</v>
      </c>
      <c r="L12" s="72">
        <f>ROUND((J12*K12)/1000,5)</f>
        <v>0</v>
      </c>
      <c r="M12" s="11" t="str">
        <f>V30&amp;" lbs max"</f>
        <v>50 lbs max</v>
      </c>
      <c r="P12" s="362"/>
      <c r="Q12" s="375" t="str">
        <f t="shared" si="0"/>
        <v>Ln12</v>
      </c>
      <c r="R12" s="391"/>
      <c r="S12" s="400" t="s">
        <v>7</v>
      </c>
      <c r="T12" s="391"/>
      <c r="U12" s="391"/>
      <c r="V12" s="392"/>
      <c r="W12" s="393" t="s">
        <v>176</v>
      </c>
      <c r="X12" s="357"/>
      <c r="Y12" s="396" t="s">
        <v>56</v>
      </c>
      <c r="Z12" s="388">
        <v>1948</v>
      </c>
      <c r="AA12" s="766" t="s">
        <v>153</v>
      </c>
      <c r="AB12" s="766"/>
      <c r="AD12" s="357"/>
      <c r="AE12" s="623">
        <f>AE16</f>
        <v>35</v>
      </c>
      <c r="AF12" s="766" t="s">
        <v>153</v>
      </c>
      <c r="AG12" s="766"/>
      <c r="AI12" s="237"/>
      <c r="AJ12" s="237"/>
    </row>
    <row r="13" spans="2:36" ht="15" customHeight="1" thickTop="1" x14ac:dyDescent="0.25">
      <c r="B13" s="6"/>
      <c r="H13" s="1"/>
      <c r="I13" s="185"/>
      <c r="J13" s="187"/>
      <c r="K13" s="26"/>
      <c r="L13" s="92"/>
      <c r="M13" s="186"/>
      <c r="P13" s="362"/>
      <c r="Q13" s="375" t="str">
        <f t="shared" si="0"/>
        <v>Ln13</v>
      </c>
      <c r="R13" s="391"/>
      <c r="S13" s="400" t="s">
        <v>194</v>
      </c>
      <c r="T13" s="391"/>
      <c r="U13" s="391"/>
      <c r="V13" s="392"/>
      <c r="W13" s="393" t="s">
        <v>176</v>
      </c>
      <c r="X13" s="357"/>
      <c r="Y13" s="396" t="s">
        <v>57</v>
      </c>
      <c r="Z13" s="395"/>
      <c r="AC13" s="767" t="s">
        <v>157</v>
      </c>
      <c r="AD13" s="357"/>
      <c r="AH13" s="767" t="s">
        <v>167</v>
      </c>
      <c r="AI13" s="237"/>
      <c r="AJ13" s="237"/>
    </row>
    <row r="14" spans="2:36" ht="15" customHeight="1" thickBot="1" x14ac:dyDescent="0.35">
      <c r="B14" s="3"/>
      <c r="C14" s="235"/>
      <c r="D14" s="2"/>
      <c r="E14" s="2"/>
      <c r="F14" s="40" t="str">
        <f>IF(R20="err","","(Std Fueling "&amp;T19&amp;" gal ("&amp;T20&amp;"))")</f>
        <v>(Std Fueling 35 gal (TABS))</v>
      </c>
      <c r="H14" s="1"/>
      <c r="I14" s="15" t="s">
        <v>6</v>
      </c>
      <c r="J14" s="71">
        <f>SUM(J7:J13)</f>
        <v>1732.85</v>
      </c>
      <c r="K14" s="26"/>
      <c r="L14" s="70">
        <f>SUM(L7:L13)</f>
        <v>73.212909999999994</v>
      </c>
      <c r="M14" s="11" t="str">
        <f>"Max Ramp Weight: "&amp;TEXT(U9,"#,###")&amp;IF(U8&lt;&gt;U10," - Landing "&amp;TEXT(U10,"#,###"),"")</f>
        <v>Max Ramp Weight: 2,557</v>
      </c>
      <c r="P14" s="362"/>
      <c r="Q14" s="375" t="str">
        <f t="shared" si="0"/>
        <v>Ln14</v>
      </c>
      <c r="R14" s="391"/>
      <c r="S14" s="400" t="s">
        <v>24</v>
      </c>
      <c r="T14" s="391"/>
      <c r="U14" s="391"/>
      <c r="V14" s="392"/>
      <c r="W14" s="393" t="s">
        <v>177</v>
      </c>
      <c r="X14" s="357"/>
      <c r="Y14" s="396" t="s">
        <v>156</v>
      </c>
      <c r="Z14" s="395"/>
      <c r="AC14" s="767"/>
      <c r="AD14" s="357"/>
      <c r="AH14" s="767"/>
      <c r="AI14" s="237"/>
      <c r="AJ14" s="237"/>
    </row>
    <row r="15" spans="2:36" ht="15" customHeight="1" thickTop="1" thickBot="1" x14ac:dyDescent="0.3">
      <c r="B15" s="32" t="s">
        <v>88</v>
      </c>
      <c r="C15" s="4"/>
      <c r="D15" s="793"/>
      <c r="E15" s="793"/>
      <c r="F15" s="5" t="s">
        <v>36</v>
      </c>
      <c r="H15" s="1"/>
      <c r="I15" s="16" t="s">
        <v>15</v>
      </c>
      <c r="J15" s="585">
        <f>V21</f>
        <v>-7</v>
      </c>
      <c r="K15" s="69">
        <f>U18</f>
        <v>48</v>
      </c>
      <c r="L15" s="72">
        <f>ROUND((J15*K15)/1000,5)</f>
        <v>-0.33600000000000002</v>
      </c>
      <c r="M15" s="11" t="s">
        <v>16</v>
      </c>
      <c r="P15" s="362"/>
      <c r="Q15" s="375" t="str">
        <f t="shared" si="0"/>
        <v>Ln15</v>
      </c>
      <c r="R15" s="391"/>
      <c r="S15" s="400" t="s">
        <v>193</v>
      </c>
      <c r="T15" s="391"/>
      <c r="U15" s="391"/>
      <c r="V15" s="392"/>
      <c r="W15" s="393" t="s">
        <v>177</v>
      </c>
      <c r="X15" s="357"/>
      <c r="Y15" s="396" t="s">
        <v>47</v>
      </c>
      <c r="Z15" s="388">
        <v>1500</v>
      </c>
      <c r="AC15" s="792"/>
      <c r="AD15" s="357"/>
      <c r="AH15" s="792"/>
      <c r="AI15" s="237"/>
      <c r="AJ15" s="237"/>
    </row>
    <row r="16" spans="2:36" ht="15" customHeight="1" thickTop="1" thickBot="1" x14ac:dyDescent="0.25">
      <c r="B16" s="32" t="s">
        <v>35</v>
      </c>
      <c r="C16" s="2"/>
      <c r="D16" s="794"/>
      <c r="E16" s="795"/>
      <c r="F16" s="5" t="s">
        <v>108</v>
      </c>
      <c r="H16" s="1"/>
      <c r="I16" s="17" t="s">
        <v>7</v>
      </c>
      <c r="J16" s="126">
        <f ca="1">IF(expired=TRUE,9999,SUM(J14:J15))</f>
        <v>1725.85</v>
      </c>
      <c r="K16" s="73" t="s">
        <v>5</v>
      </c>
      <c r="L16" s="74">
        <f>SUM(L14:L15)</f>
        <v>72.876909999999995</v>
      </c>
      <c r="M16" s="110" t="str">
        <f>"Max Gross: "&amp;TEXT(U8,"#,##0")&amp;"   Useful Load: "&amp;TEXT(U37,"#,##0")</f>
        <v>Max Gross: 2,550   Useful Load: 817</v>
      </c>
      <c r="P16" s="362"/>
      <c r="Q16" s="401"/>
      <c r="R16" s="401"/>
      <c r="S16" s="401"/>
      <c r="T16" s="401"/>
      <c r="U16" s="401"/>
      <c r="V16" s="401"/>
      <c r="W16" s="401"/>
      <c r="X16" s="357"/>
      <c r="Y16" s="402"/>
      <c r="Z16" s="395"/>
      <c r="AC16" s="403">
        <f>AC8</f>
        <v>2550</v>
      </c>
      <c r="AD16" s="357"/>
      <c r="AE16" s="404">
        <v>35</v>
      </c>
      <c r="AF16" s="82"/>
      <c r="AG16" s="82"/>
      <c r="AH16" s="405">
        <f>AH8</f>
        <v>47.3</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42.226676710026936</v>
      </c>
      <c r="L17" s="75" t="s">
        <v>5</v>
      </c>
      <c r="M17" s="12" t="s">
        <v>9</v>
      </c>
      <c r="P17" s="362"/>
      <c r="Q17" s="370" t="s">
        <v>158</v>
      </c>
      <c r="R17" s="371"/>
      <c r="S17" s="371"/>
      <c r="T17" s="406" t="s">
        <v>174</v>
      </c>
      <c r="U17" s="372" t="s">
        <v>2</v>
      </c>
      <c r="V17" s="372" t="s">
        <v>118</v>
      </c>
      <c r="W17" s="373" t="s">
        <v>179</v>
      </c>
      <c r="X17" s="357"/>
      <c r="Y17" s="407"/>
      <c r="Z17" s="408"/>
      <c r="AD17" s="357"/>
      <c r="AE17" s="409"/>
      <c r="AF17" s="797" t="s">
        <v>161</v>
      </c>
      <c r="AG17" s="797"/>
      <c r="AH17" s="410"/>
      <c r="AI17" s="237"/>
      <c r="AJ17" s="237"/>
    </row>
    <row r="18" spans="2:36" ht="15" customHeight="1" thickTop="1" thickBot="1" x14ac:dyDescent="0.25">
      <c r="B18" s="32" t="s">
        <v>139</v>
      </c>
      <c r="D18" s="798">
        <f>D16*D17</f>
        <v>0</v>
      </c>
      <c r="E18" s="799"/>
      <c r="F18" s="5" t="s">
        <v>36</v>
      </c>
      <c r="H18" s="1"/>
      <c r="I18" s="23" t="s">
        <v>23</v>
      </c>
      <c r="J18" s="25">
        <f>D18*6*-1</f>
        <v>0</v>
      </c>
      <c r="K18" s="25">
        <f>K8</f>
        <v>48</v>
      </c>
      <c r="L18" s="92">
        <f>ROUND((J18*K18)/1000,5)</f>
        <v>0</v>
      </c>
      <c r="M18" s="29" t="s">
        <v>73</v>
      </c>
      <c r="P18" s="362"/>
      <c r="Q18" s="375" t="str">
        <f t="shared" si="0"/>
        <v>Ln18</v>
      </c>
      <c r="R18" s="384" t="str">
        <f>IF(D15&gt;T18,"ERR","OK")</f>
        <v>OK</v>
      </c>
      <c r="S18" s="548" t="s">
        <v>239</v>
      </c>
      <c r="T18" s="411">
        <v>53</v>
      </c>
      <c r="U18" s="380">
        <v>48</v>
      </c>
      <c r="V18" s="412">
        <f>T18*6</f>
        <v>318</v>
      </c>
      <c r="W18" s="393" t="s">
        <v>176</v>
      </c>
      <c r="X18" s="357"/>
      <c r="Y18" s="357"/>
      <c r="Z18" s="357"/>
      <c r="AA18" s="357"/>
      <c r="AB18" s="357"/>
      <c r="AC18" s="357"/>
      <c r="AD18" s="357"/>
      <c r="AE18" s="357"/>
      <c r="AF18" s="357"/>
      <c r="AG18" s="357"/>
      <c r="AH18" s="35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95">
        <f ca="1">SUM(J16:J18)</f>
        <v>1725.85</v>
      </c>
      <c r="K19" s="93"/>
      <c r="L19" s="24">
        <f>SUM(L16:L18)</f>
        <v>72.876909999999995</v>
      </c>
      <c r="M19" s="29" t="str">
        <f>IF(U8=U10,"Landing Weight Limit same as Takeoff Weight","Max Landing Weight  "&amp;TEXT(U10,"#,##0"))</f>
        <v>Landing Weight Limit same as Takeoff Weight</v>
      </c>
      <c r="P19" s="362"/>
      <c r="Q19" s="375" t="str">
        <f t="shared" si="0"/>
        <v>Ln19</v>
      </c>
      <c r="R19" s="391"/>
      <c r="S19" s="549" t="s">
        <v>240</v>
      </c>
      <c r="T19" s="411">
        <v>35</v>
      </c>
      <c r="U19" s="413"/>
      <c r="V19" s="412">
        <f>T19*6</f>
        <v>210</v>
      </c>
      <c r="W19" s="357"/>
      <c r="X19" s="357"/>
      <c r="Y19" s="357"/>
      <c r="Z19" s="357"/>
      <c r="AA19" s="414" t="str">
        <f ca="1">IF(AA20&gt;U8,"OUT","OK")</f>
        <v>OK</v>
      </c>
      <c r="AB19" s="415" t="s">
        <v>164</v>
      </c>
      <c r="AC19" s="357"/>
      <c r="AD19" s="357"/>
      <c r="AE19" s="414" t="str">
        <f ca="1">IF(AA19="out","out",IF(AND(AE20&gt;=AG20,AE20&lt;=AH20),"OK","OUT"))</f>
        <v>OK</v>
      </c>
      <c r="AF19" s="357"/>
      <c r="AG19" s="357"/>
      <c r="AH19" s="357"/>
      <c r="AI19" s="237"/>
      <c r="AJ19" s="237"/>
    </row>
    <row r="20" spans="2:36" ht="15" customHeight="1" thickTop="1" thickBot="1" x14ac:dyDescent="0.25">
      <c r="B20" s="135" t="s">
        <v>132</v>
      </c>
      <c r="I20" s="28" t="s">
        <v>8</v>
      </c>
      <c r="J20" s="94"/>
      <c r="K20" s="96">
        <f ca="1">(L19*1000)/J19</f>
        <v>42.226676710026936</v>
      </c>
      <c r="L20" s="76"/>
      <c r="M20" s="30" t="s">
        <v>65</v>
      </c>
      <c r="P20" s="362"/>
      <c r="Q20" s="375" t="str">
        <f t="shared" si="0"/>
        <v>Ln20</v>
      </c>
      <c r="R20" s="83" t="str">
        <f>IF(AND(T18=T19,LEFT(T20,1)="F"),"OK",IF(AND(T18&lt;&gt;T19,LEFT(T20,1)&lt;&gt;"F"),"OK","ERR"))</f>
        <v>OK</v>
      </c>
      <c r="S20" s="547" t="s">
        <v>188</v>
      </c>
      <c r="T20" s="546" t="s">
        <v>187</v>
      </c>
      <c r="U20" s="397" t="s">
        <v>190</v>
      </c>
      <c r="V20" s="412"/>
      <c r="W20" s="392"/>
      <c r="X20" s="357"/>
      <c r="Y20" s="416" t="s">
        <v>47</v>
      </c>
      <c r="Z20" s="417" t="s">
        <v>1</v>
      </c>
      <c r="AA20" s="418">
        <f ca="1">J16</f>
        <v>1725.85</v>
      </c>
      <c r="AB20" s="419"/>
      <c r="AC20" s="420"/>
      <c r="AD20" s="421" t="s">
        <v>40</v>
      </c>
      <c r="AE20" s="422">
        <f ca="1">K17</f>
        <v>42.226676710026936</v>
      </c>
      <c r="AF20" s="423" t="s">
        <v>61</v>
      </c>
      <c r="AG20" s="424">
        <f ca="1">VLOOKUP(AA20,Z23:AH26,8,TRUE)</f>
        <v>35</v>
      </c>
      <c r="AH20" s="425">
        <f ca="1">VLOOKUP(AA20,Z23:AH26,9,TRUE)</f>
        <v>47.3</v>
      </c>
      <c r="AI20" s="237"/>
      <c r="AJ20" s="237"/>
    </row>
    <row r="21" spans="2:36" ht="13.5" thickTop="1" x14ac:dyDescent="0.2">
      <c r="B21" s="770" t="str">
        <f>IF(R10&lt;&gt;"OK","Caution - Landing Weight",IF(R11&lt;&gt;"OK","Watch Early Landing Weight",""))</f>
        <v/>
      </c>
      <c r="C21" s="772" t="str">
        <f ca="1">IF(OR(AA19="out",AE19="out"),"CAUTION:   Wt or CG Out of Limits","")</f>
        <v/>
      </c>
      <c r="D21" s="772"/>
      <c r="E21" s="772"/>
      <c r="F21" s="773"/>
      <c r="P21" s="362"/>
      <c r="Q21" s="375" t="str">
        <f t="shared" si="0"/>
        <v>Ln21</v>
      </c>
      <c r="R21" s="391"/>
      <c r="S21" s="548" t="s">
        <v>191</v>
      </c>
      <c r="T21" s="411">
        <v>1.1000000000000001</v>
      </c>
      <c r="U21" s="413"/>
      <c r="V21" s="582">
        <f>ROUND(T21*6,0)*-1</f>
        <v>-7</v>
      </c>
      <c r="W21" s="357"/>
      <c r="X21" s="357"/>
      <c r="Y21" s="426" t="s">
        <v>48</v>
      </c>
      <c r="Z21" s="427"/>
      <c r="AA21" s="428" t="s">
        <v>67</v>
      </c>
      <c r="AB21" s="429"/>
      <c r="AC21" s="430"/>
      <c r="AD21" s="427"/>
      <c r="AE21" s="431" t="s">
        <v>66</v>
      </c>
      <c r="AF21" s="427"/>
      <c r="AG21" s="432" t="s">
        <v>46</v>
      </c>
      <c r="AH21" s="433" t="s">
        <v>46</v>
      </c>
      <c r="AI21" s="237"/>
      <c r="AJ21" s="237"/>
    </row>
    <row r="22" spans="2:36" ht="13.5" thickBot="1" x14ac:dyDescent="0.25">
      <c r="B22" s="771"/>
      <c r="C22" s="774"/>
      <c r="D22" s="774"/>
      <c r="E22" s="774"/>
      <c r="F22" s="775"/>
      <c r="P22" s="358"/>
      <c r="Q22" s="357"/>
      <c r="R22" s="391"/>
      <c r="S22" s="550" t="s">
        <v>15</v>
      </c>
      <c r="T22" s="391"/>
      <c r="U22" s="392"/>
      <c r="V22" s="391"/>
      <c r="W22" s="393" t="s">
        <v>177</v>
      </c>
      <c r="X22" s="357"/>
      <c r="Y22" s="426" t="s">
        <v>49</v>
      </c>
      <c r="Z22" s="434" t="s">
        <v>41</v>
      </c>
      <c r="AA22" s="434" t="s">
        <v>42</v>
      </c>
      <c r="AB22" s="435" t="s">
        <v>43</v>
      </c>
      <c r="AC22" s="436" t="s">
        <v>41</v>
      </c>
      <c r="AD22" s="437" t="s">
        <v>42</v>
      </c>
      <c r="AE22" s="438" t="s">
        <v>44</v>
      </c>
      <c r="AF22" s="439" t="s">
        <v>45</v>
      </c>
      <c r="AG22" s="440" t="s">
        <v>68</v>
      </c>
      <c r="AH22" s="441" t="s">
        <v>69</v>
      </c>
      <c r="AI22" s="237"/>
      <c r="AJ22" s="237"/>
    </row>
    <row r="23" spans="2:36" ht="13.5" thickTop="1" x14ac:dyDescent="0.2">
      <c r="B23" s="34" t="str">
        <f>IF(AND(R52&lt;&gt;"OK",R48&lt;&gt;"OK"),"Enter Fuel on Board","")</f>
        <v/>
      </c>
      <c r="C23" s="776" t="str">
        <f>IF(R53&lt;&gt;"OK","Fuel &lt;1-HR Reserve","")</f>
        <v/>
      </c>
      <c r="D23" s="776"/>
      <c r="E23" s="776"/>
      <c r="F23" s="777"/>
      <c r="I23" s="10" t="s">
        <v>64</v>
      </c>
      <c r="P23" s="358"/>
      <c r="Q23" s="401"/>
      <c r="R23" s="391"/>
      <c r="S23" s="550" t="s">
        <v>192</v>
      </c>
      <c r="T23" s="391"/>
      <c r="U23" s="392"/>
      <c r="V23" s="391"/>
      <c r="W23" s="393" t="s">
        <v>177</v>
      </c>
      <c r="X23" s="357"/>
      <c r="Y23" s="426" t="s">
        <v>50</v>
      </c>
      <c r="Z23" s="442">
        <f>Z15</f>
        <v>1500</v>
      </c>
      <c r="AA23" s="443">
        <f>Z12</f>
        <v>1948</v>
      </c>
      <c r="AB23" s="444">
        <f>+AA23-Z23</f>
        <v>448</v>
      </c>
      <c r="AC23" s="445">
        <f>AE16</f>
        <v>35</v>
      </c>
      <c r="AD23" s="446">
        <f>AE12</f>
        <v>35</v>
      </c>
      <c r="AE23" s="447">
        <f>AD23-AC23</f>
        <v>0</v>
      </c>
      <c r="AF23" s="448">
        <f>IF(OR(AB23=0,AE23=0),0,ROUND(AE23/AB23,5))</f>
        <v>0</v>
      </c>
      <c r="AG23" s="449">
        <f ca="1">IF(AND(AA20&gt;=Z23,AA20&lt;AA23),AC23+((AA20-Z23)*AF23),AC23)</f>
        <v>35</v>
      </c>
      <c r="AH23" s="450">
        <f>AD26</f>
        <v>47.3</v>
      </c>
      <c r="AI23" s="237"/>
      <c r="AJ23" s="237"/>
    </row>
    <row r="24" spans="2:36" ht="12.75" customHeight="1" x14ac:dyDescent="0.2">
      <c r="B24" s="77" t="str">
        <f>IF(AND(R52&lt;&gt;"OK",R49&lt;&gt;"OK"),"Enter GPH Usage","")</f>
        <v/>
      </c>
      <c r="C24" s="778" t="str">
        <f>IF(OR(R18&lt;&gt;"OK",R51&lt;&gt;"OK"),"Fueling Error","")</f>
        <v/>
      </c>
      <c r="D24" s="778"/>
      <c r="E24" s="778"/>
      <c r="F24" s="779"/>
      <c r="I24" s="9" t="s">
        <v>62</v>
      </c>
      <c r="P24" s="358"/>
      <c r="Q24" s="401"/>
      <c r="R24" s="401"/>
      <c r="S24" s="401"/>
      <c r="T24" s="401"/>
      <c r="U24" s="401"/>
      <c r="V24" s="401"/>
      <c r="W24" s="401"/>
      <c r="X24" s="357"/>
      <c r="Y24" s="426" t="s">
        <v>51</v>
      </c>
      <c r="Z24" s="451">
        <f>AA23</f>
        <v>1948</v>
      </c>
      <c r="AA24" s="452">
        <f>AA8</f>
        <v>2550</v>
      </c>
      <c r="AB24" s="453">
        <f>+AA24-Z24</f>
        <v>602</v>
      </c>
      <c r="AC24" s="454">
        <f>IF(AD24=AD23,AC23,AD23)</f>
        <v>35</v>
      </c>
      <c r="AD24" s="455">
        <f>AF8</f>
        <v>41</v>
      </c>
      <c r="AE24" s="447">
        <f>AD24-AC24</f>
        <v>6</v>
      </c>
      <c r="AF24" s="448">
        <f>IF(OR(AB24=0,AE24=0),0,ROUND(AE24/AB24,5))</f>
        <v>9.9699999999999997E-3</v>
      </c>
      <c r="AG24" s="449">
        <f ca="1">IF(AND(AA20&gt;=Z24,AA20&lt;AA24),AC24+((AA20-Z24)*AF24),AC24)</f>
        <v>35</v>
      </c>
      <c r="AH24" s="213">
        <f>AH23</f>
        <v>47.3</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358"/>
      <c r="Q25" s="370" t="s">
        <v>159</v>
      </c>
      <c r="R25" s="371"/>
      <c r="S25" s="371"/>
      <c r="T25" s="371"/>
      <c r="U25" s="372" t="s">
        <v>2</v>
      </c>
      <c r="V25" s="372" t="s">
        <v>1</v>
      </c>
      <c r="W25" s="373" t="s">
        <v>179</v>
      </c>
      <c r="X25" s="357"/>
      <c r="Y25" s="426" t="s">
        <v>52</v>
      </c>
      <c r="Z25" s="451">
        <f>AA24</f>
        <v>2550</v>
      </c>
      <c r="AA25" s="452">
        <f>AC8</f>
        <v>2550</v>
      </c>
      <c r="AB25" s="453">
        <f>+AA25-Z25</f>
        <v>0</v>
      </c>
      <c r="AC25" s="454">
        <f>IF(AD25=AD24,AC24,AD24)</f>
        <v>41</v>
      </c>
      <c r="AD25" s="455">
        <f>AH8</f>
        <v>47.3</v>
      </c>
      <c r="AE25" s="447">
        <f>AD25-AC25</f>
        <v>6.2999999999999972</v>
      </c>
      <c r="AF25" s="448">
        <f>IF(OR(AB25=0,AE25=0),0,ROUND(AE25/AB25,5))</f>
        <v>0</v>
      </c>
      <c r="AG25" s="449">
        <f ca="1">IF(AND(AA20&gt;=Z25,AA20&lt;AA25),AC25+((AA20-Z25)*AF25),AC25)</f>
        <v>41</v>
      </c>
      <c r="AH25" s="213">
        <f>AH24</f>
        <v>47.3</v>
      </c>
      <c r="AI25" s="237"/>
      <c r="AJ25" s="237"/>
    </row>
    <row r="26" spans="2:36" ht="13.5" thickTop="1" x14ac:dyDescent="0.2">
      <c r="I26" s="8" t="str">
        <f>"R Front:  "&amp;IF(E7=0,"---",E7&amp;"#")</f>
        <v>R Front:  ---</v>
      </c>
      <c r="P26" s="358"/>
      <c r="Q26" s="375" t="str">
        <f t="shared" si="0"/>
        <v>Ln26</v>
      </c>
      <c r="R26" s="391"/>
      <c r="S26" s="456" t="s">
        <v>11</v>
      </c>
      <c r="T26" s="378"/>
      <c r="U26" s="380">
        <v>37</v>
      </c>
      <c r="V26" s="412">
        <f>C7+E7</f>
        <v>0</v>
      </c>
      <c r="W26" s="457"/>
      <c r="X26" s="357"/>
      <c r="Y26" s="458" t="s">
        <v>52</v>
      </c>
      <c r="Z26" s="459">
        <f>AA25</f>
        <v>2550</v>
      </c>
      <c r="AA26" s="460">
        <f>AC16</f>
        <v>2550</v>
      </c>
      <c r="AB26" s="461">
        <f>+AA26-Z26</f>
        <v>0</v>
      </c>
      <c r="AC26" s="462">
        <f>IF(AD26=AD25,AC25,AD25)</f>
        <v>41</v>
      </c>
      <c r="AD26" s="463">
        <f>AH16</f>
        <v>47.3</v>
      </c>
      <c r="AE26" s="464">
        <f>AD26-AC26</f>
        <v>6.2999999999999972</v>
      </c>
      <c r="AF26" s="465">
        <f>IF(OR(AB26=0,AE26=0),0,ROUND(AE26/AB26,5))</f>
        <v>0</v>
      </c>
      <c r="AG26" s="466">
        <f ca="1">IF(AND(AA20&gt;=Z26,AA20&lt;AA26),AC26+((AA20-Z26)*AF26),AC26)</f>
        <v>41</v>
      </c>
      <c r="AH26" s="217">
        <f>AH25</f>
        <v>47.3</v>
      </c>
      <c r="AI26" s="237"/>
      <c r="AJ26" s="237"/>
    </row>
    <row r="27" spans="2:36" ht="12.75" customHeight="1" x14ac:dyDescent="0.2">
      <c r="B27" s="60" t="s">
        <v>79</v>
      </c>
      <c r="H27" s="1"/>
      <c r="I27" s="8" t="str">
        <f>"L  Rear:  "&amp;IF(C9=0,"---",C9&amp;"#")</f>
        <v>L  Rear:  ---</v>
      </c>
      <c r="P27" s="358"/>
      <c r="Q27" s="375" t="str">
        <f t="shared" si="0"/>
        <v>Ln27</v>
      </c>
      <c r="R27" s="391"/>
      <c r="S27" s="456" t="s">
        <v>12</v>
      </c>
      <c r="T27" s="378"/>
      <c r="U27" s="380">
        <v>73</v>
      </c>
      <c r="V27" s="412">
        <f>C9+E9</f>
        <v>0</v>
      </c>
      <c r="W27" s="457"/>
      <c r="X27" s="357"/>
      <c r="Y27" s="357"/>
      <c r="Z27" s="357"/>
      <c r="AA27" s="357"/>
      <c r="AB27" s="357"/>
      <c r="AC27" s="357"/>
      <c r="AD27" s="357"/>
      <c r="AE27" s="357"/>
      <c r="AF27" s="357"/>
      <c r="AG27" s="357"/>
      <c r="AH27" s="357"/>
      <c r="AI27" s="237"/>
      <c r="AJ27" s="237"/>
    </row>
    <row r="28" spans="2:36" ht="13.5" thickBot="1" x14ac:dyDescent="0.25">
      <c r="B28" s="22" t="s">
        <v>127</v>
      </c>
      <c r="D28" s="782">
        <f>U37+(J15*-1)</f>
        <v>824</v>
      </c>
      <c r="E28" s="783"/>
      <c r="F28" s="784" t="str">
        <f>"( "&amp;TEXT(U37,"#,##0")&amp;"+"&amp;J15*-1&amp;" )"</f>
        <v>( 817+7 )</v>
      </c>
      <c r="G28" s="785"/>
      <c r="H28" s="785"/>
      <c r="I28" s="8" t="str">
        <f>"R  Rear:  "&amp;IF(E9=0,"---",E9&amp;"#")</f>
        <v>R  Rear:  ---</v>
      </c>
      <c r="P28" s="358"/>
      <c r="Q28" s="357"/>
      <c r="R28" s="357"/>
      <c r="S28" s="357"/>
      <c r="T28" s="357"/>
      <c r="U28" s="413"/>
      <c r="V28" s="413"/>
      <c r="W28" s="357"/>
      <c r="X28" s="357"/>
      <c r="Y28" s="357"/>
      <c r="Z28" s="357"/>
      <c r="AA28" s="357"/>
      <c r="AB28" s="357"/>
      <c r="AC28" s="357"/>
      <c r="AD28" s="357"/>
      <c r="AE28" s="357"/>
      <c r="AF28" s="357"/>
      <c r="AG28" s="357"/>
      <c r="AH28" s="357"/>
      <c r="AI28" s="237"/>
      <c r="AJ28" s="237"/>
    </row>
    <row r="29" spans="2:36" ht="13.5" thickBot="1" x14ac:dyDescent="0.25">
      <c r="B29" s="22" t="s">
        <v>126</v>
      </c>
      <c r="D29" s="786">
        <f>SUM(J8:J13)</f>
        <v>0</v>
      </c>
      <c r="E29" s="787"/>
      <c r="I29" s="8" t="str">
        <f>"Bag 1:  "&amp;IF(C11=0,"---",C11&amp;"#")</f>
        <v>Bag 1:  ---</v>
      </c>
      <c r="P29" s="358"/>
      <c r="Q29" s="375" t="str">
        <f t="shared" si="0"/>
        <v>Ln29</v>
      </c>
      <c r="R29" s="467" t="str">
        <f>IF(C11&gt;V29,"ERR","OK")</f>
        <v>OK</v>
      </c>
      <c r="S29" s="456" t="s">
        <v>25</v>
      </c>
      <c r="T29" s="378"/>
      <c r="U29" s="380">
        <v>95</v>
      </c>
      <c r="V29" s="468">
        <v>120</v>
      </c>
      <c r="W29" s="393" t="s">
        <v>176</v>
      </c>
      <c r="X29" s="357"/>
      <c r="Y29" s="357"/>
      <c r="Z29" s="357"/>
      <c r="AA29" s="357"/>
      <c r="AB29" s="357"/>
      <c r="AC29" s="357"/>
      <c r="AD29" s="357"/>
      <c r="AE29" s="357"/>
      <c r="AF29" s="357"/>
      <c r="AG29" s="357"/>
      <c r="AH29" s="357"/>
      <c r="AI29" s="237"/>
      <c r="AJ29" s="237"/>
    </row>
    <row r="30" spans="2:36" ht="15.75" x14ac:dyDescent="0.3">
      <c r="B30" s="22" t="str">
        <f>IF(D29&lt;=D28,"Lbs before overweight","OVERWEIGHT")</f>
        <v>Lbs before overweight</v>
      </c>
      <c r="D30" s="788">
        <f>ABS(D28-D29)</f>
        <v>824</v>
      </c>
      <c r="E30" s="789"/>
      <c r="F30" s="790" t="str">
        <f>IF(D29&gt;D28,"# Over","")</f>
        <v/>
      </c>
      <c r="G30" s="791"/>
      <c r="H30" s="791"/>
      <c r="I30" s="8" t="str">
        <f>"Bag 2:  "&amp;IF(C12=0,"---",C12&amp;"#")</f>
        <v>Bag 2:  ---</v>
      </c>
      <c r="P30" s="358"/>
      <c r="Q30" s="375" t="str">
        <f t="shared" si="0"/>
        <v>Ln30</v>
      </c>
      <c r="R30" s="467" t="str">
        <f>IF(C12&gt;V30,"ERR","OK")</f>
        <v>OK</v>
      </c>
      <c r="S30" s="456" t="s">
        <v>26</v>
      </c>
      <c r="T30" s="469"/>
      <c r="U30" s="380">
        <v>123</v>
      </c>
      <c r="V30" s="468">
        <v>50</v>
      </c>
      <c r="W30" s="393" t="s">
        <v>176</v>
      </c>
      <c r="X30" s="357"/>
      <c r="Y30" s="357"/>
      <c r="Z30" s="472"/>
      <c r="AA30" s="473"/>
      <c r="AB30" s="474" t="s">
        <v>165</v>
      </c>
      <c r="AC30" s="371"/>
      <c r="AD30" s="371"/>
      <c r="AE30" s="371"/>
      <c r="AF30" s="371"/>
      <c r="AG30" s="371"/>
      <c r="AH30" s="357"/>
      <c r="AI30" s="237"/>
      <c r="AJ30" s="237"/>
    </row>
    <row r="31" spans="2:36" ht="15.75" thickBot="1" x14ac:dyDescent="0.3">
      <c r="P31" s="358"/>
      <c r="Q31" s="375" t="str">
        <f t="shared" si="0"/>
        <v>Ln31</v>
      </c>
      <c r="R31" s="467" t="str">
        <f>IF(C11+C12&gt;V31,"ERR","OK")</f>
        <v>OK</v>
      </c>
      <c r="S31" s="470" t="s">
        <v>30</v>
      </c>
      <c r="T31" s="469"/>
      <c r="U31" s="471"/>
      <c r="V31" s="468">
        <v>120</v>
      </c>
      <c r="W31" s="357"/>
      <c r="X31" s="357"/>
      <c r="Y31" s="357"/>
      <c r="Z31" s="357"/>
      <c r="AA31" s="357"/>
      <c r="AB31" s="357"/>
      <c r="AC31" s="382" t="s">
        <v>162</v>
      </c>
      <c r="AD31" s="357"/>
      <c r="AE31" s="357"/>
      <c r="AF31" s="357"/>
      <c r="AG31" s="473"/>
      <c r="AH31" s="357"/>
      <c r="AI31" s="237"/>
      <c r="AJ31" s="237"/>
    </row>
    <row r="32" spans="2:36" ht="13.5" thickTop="1" x14ac:dyDescent="0.2">
      <c r="I32" s="8"/>
      <c r="P32" s="358"/>
      <c r="Q32" s="375" t="str">
        <f t="shared" si="0"/>
        <v>Ln32</v>
      </c>
      <c r="R32" s="391"/>
      <c r="S32" s="475" t="s">
        <v>152</v>
      </c>
      <c r="T32" s="391"/>
      <c r="U32" s="471"/>
      <c r="V32" s="471"/>
      <c r="W32" s="357"/>
      <c r="X32" s="357"/>
      <c r="Y32" s="476"/>
      <c r="Z32" s="477"/>
      <c r="AA32" s="478">
        <v>2550</v>
      </c>
      <c r="AC32" s="624">
        <f>AA32</f>
        <v>2550</v>
      </c>
      <c r="AD32" s="357"/>
      <c r="AF32" s="479">
        <v>41</v>
      </c>
      <c r="AH32" s="390">
        <v>47.3</v>
      </c>
      <c r="AI32" s="237"/>
      <c r="AJ32" s="237"/>
    </row>
    <row r="33" spans="8:36" x14ac:dyDescent="0.2">
      <c r="I33" s="9" t="s">
        <v>63</v>
      </c>
      <c r="P33" s="358"/>
      <c r="Q33" s="375" t="str">
        <f t="shared" si="0"/>
        <v>Ln33</v>
      </c>
      <c r="R33" s="391"/>
      <c r="S33" s="475" t="s">
        <v>152</v>
      </c>
      <c r="T33" s="391"/>
      <c r="U33" s="471"/>
      <c r="V33" s="471"/>
      <c r="W33" s="357"/>
      <c r="X33" s="357"/>
      <c r="Y33" s="480"/>
      <c r="Z33" s="82"/>
      <c r="AD33" s="357"/>
      <c r="AI33" s="237"/>
      <c r="AJ33" s="237"/>
    </row>
    <row r="34" spans="8:36" ht="13.5" x14ac:dyDescent="0.25">
      <c r="I34" s="10" t="str">
        <f>"Start:  "&amp;TEXT(D15,("###.0"))&amp;" USG"</f>
        <v>Start:  .0 USG</v>
      </c>
      <c r="P34" s="358"/>
      <c r="Q34" s="375" t="str">
        <f t="shared" si="0"/>
        <v>Ln34</v>
      </c>
      <c r="R34" s="391"/>
      <c r="S34" s="475" t="s">
        <v>152</v>
      </c>
      <c r="T34" s="391"/>
      <c r="U34" s="471"/>
      <c r="V34" s="471"/>
      <c r="W34" s="357"/>
      <c r="X34" s="357"/>
      <c r="Y34" s="481" t="s">
        <v>155</v>
      </c>
      <c r="Z34" s="82"/>
      <c r="AD34" s="357"/>
      <c r="AI34" s="237"/>
      <c r="AJ34" s="237"/>
    </row>
    <row r="35" spans="8:36" ht="13.5" x14ac:dyDescent="0.25">
      <c r="I35" s="10" t="str">
        <f>"Used:    "&amp;TEXT(D18,("###.0"))&amp;" USG"</f>
        <v>Used:    .0 USG</v>
      </c>
      <c r="P35" s="358"/>
      <c r="Q35" s="357"/>
      <c r="R35" s="357"/>
      <c r="S35" s="357"/>
      <c r="T35" s="357"/>
      <c r="U35" s="357"/>
      <c r="V35" s="357"/>
      <c r="W35" s="357"/>
      <c r="X35" s="357"/>
      <c r="Y35" s="481" t="s">
        <v>50</v>
      </c>
      <c r="Z35" s="82"/>
      <c r="AA35" s="766" t="s">
        <v>1</v>
      </c>
      <c r="AB35" s="766"/>
      <c r="AD35" s="357"/>
      <c r="AF35" s="766" t="s">
        <v>154</v>
      </c>
      <c r="AG35" s="766"/>
      <c r="AI35" s="237"/>
      <c r="AJ35" s="237"/>
    </row>
    <row r="36" spans="8:36" ht="13.5" x14ac:dyDescent="0.25">
      <c r="I36" s="10" t="str">
        <f>"Reserve:  "&amp;TEXT(D15-D18,"###.0")&amp;" USG"</f>
        <v>Reserve:  .0 USG</v>
      </c>
      <c r="P36" s="358"/>
      <c r="Q36" s="370" t="s">
        <v>160</v>
      </c>
      <c r="R36" s="371"/>
      <c r="S36" s="371"/>
      <c r="T36" s="371"/>
      <c r="U36" s="482" t="s">
        <v>1</v>
      </c>
      <c r="V36" s="357"/>
      <c r="W36" s="357"/>
      <c r="X36" s="357"/>
      <c r="Y36" s="481" t="s">
        <v>56</v>
      </c>
      <c r="Z36" s="478">
        <v>1948</v>
      </c>
      <c r="AA36" s="766" t="s">
        <v>153</v>
      </c>
      <c r="AB36" s="766"/>
      <c r="AD36" s="357"/>
      <c r="AE36" s="623">
        <f>AE40</f>
        <v>35</v>
      </c>
      <c r="AF36" s="766" t="s">
        <v>153</v>
      </c>
      <c r="AG36" s="766"/>
      <c r="AI36" s="237"/>
      <c r="AJ36" s="237"/>
    </row>
    <row r="37" spans="8:36" ht="13.5" x14ac:dyDescent="0.25">
      <c r="P37" s="358"/>
      <c r="Q37" s="375" t="str">
        <f t="shared" ref="Q37:Q39" si="1">"Ln"&amp;ROW()</f>
        <v>Ln37</v>
      </c>
      <c r="R37" s="484"/>
      <c r="S37" s="400" t="s">
        <v>77</v>
      </c>
      <c r="T37" s="485"/>
      <c r="U37" s="486">
        <f>ROUNDDOWN(U8-U7,0)</f>
        <v>817</v>
      </c>
      <c r="V37" s="357"/>
      <c r="W37" s="357"/>
      <c r="X37" s="357"/>
      <c r="Y37" s="481" t="s">
        <v>57</v>
      </c>
      <c r="Z37" s="82"/>
      <c r="AC37" s="767" t="s">
        <v>157</v>
      </c>
      <c r="AD37" s="357"/>
      <c r="AH37" s="767" t="s">
        <v>157</v>
      </c>
      <c r="AI37" s="237"/>
      <c r="AJ37" s="237"/>
    </row>
    <row r="38" spans="8:36" ht="13.5" x14ac:dyDescent="0.25">
      <c r="I38" s="9" t="s">
        <v>72</v>
      </c>
      <c r="P38" s="358"/>
      <c r="Q38" s="375" t="str">
        <f t="shared" si="1"/>
        <v>Ln38</v>
      </c>
      <c r="R38" s="484"/>
      <c r="S38" s="400" t="s">
        <v>76</v>
      </c>
      <c r="T38" s="485"/>
      <c r="U38" s="486">
        <f>IF(T19=0,"",U37-V19)</f>
        <v>607</v>
      </c>
      <c r="V38" s="357"/>
      <c r="W38" s="357"/>
      <c r="X38" s="357"/>
      <c r="Y38" s="481" t="s">
        <v>156</v>
      </c>
      <c r="Z38" s="82"/>
      <c r="AC38" s="767"/>
      <c r="AD38" s="357"/>
      <c r="AH38" s="767"/>
      <c r="AI38" s="237"/>
      <c r="AJ38" s="237"/>
    </row>
    <row r="39" spans="8:36" ht="13.5" x14ac:dyDescent="0.25">
      <c r="H39" s="7"/>
      <c r="I39" s="63" t="str">
        <f>IF(T42="","","Max Flight (NO Res)")</f>
        <v/>
      </c>
      <c r="P39" s="358"/>
      <c r="Q39" s="375" t="str">
        <f t="shared" si="1"/>
        <v>Ln39</v>
      </c>
      <c r="R39" s="484"/>
      <c r="S39" s="400" t="s">
        <v>78</v>
      </c>
      <c r="T39" s="487"/>
      <c r="U39" s="486">
        <f>U37-V18</f>
        <v>499</v>
      </c>
      <c r="V39" s="357"/>
      <c r="W39" s="357"/>
      <c r="X39" s="357"/>
      <c r="Y39" s="481" t="s">
        <v>47</v>
      </c>
      <c r="Z39" s="82"/>
      <c r="AC39" s="768"/>
      <c r="AD39" s="357"/>
      <c r="AH39" s="768"/>
      <c r="AI39" s="237"/>
      <c r="AJ39" s="237"/>
    </row>
    <row r="40" spans="8:36" x14ac:dyDescent="0.2">
      <c r="H40" s="7"/>
      <c r="I40" s="21" t="str">
        <f>IF(T42="","","~"&amp;TEXT(T42,("##.0"))&amp;" hrs")</f>
        <v/>
      </c>
      <c r="P40" s="358"/>
      <c r="Q40" s="357"/>
      <c r="R40" s="357"/>
      <c r="S40" s="357"/>
      <c r="T40" s="413"/>
      <c r="U40" s="413"/>
      <c r="V40" s="357"/>
      <c r="W40" s="357"/>
      <c r="X40" s="357"/>
      <c r="Y40" s="480"/>
      <c r="Z40" s="478">
        <v>1500</v>
      </c>
      <c r="AC40" s="403">
        <f>AC32</f>
        <v>2550</v>
      </c>
      <c r="AD40" s="357"/>
      <c r="AE40" s="489">
        <v>35</v>
      </c>
      <c r="AF40" s="82"/>
      <c r="AG40" s="82"/>
      <c r="AH40" s="490">
        <f>AH32</f>
        <v>47.3</v>
      </c>
      <c r="AI40" s="242"/>
      <c r="AJ40" s="242"/>
    </row>
    <row r="41" spans="8:36" ht="14.25" thickBot="1" x14ac:dyDescent="0.3">
      <c r="I41" s="61" t="str">
        <f>IF(T42="","","@ "&amp;TEXT(D16,"##.0")&amp;" GPH")</f>
        <v/>
      </c>
      <c r="P41" s="358"/>
      <c r="Q41" s="370" t="s">
        <v>119</v>
      </c>
      <c r="R41" s="371"/>
      <c r="S41" s="482"/>
      <c r="T41" s="488" t="s">
        <v>121</v>
      </c>
      <c r="U41" s="413"/>
      <c r="V41" s="357"/>
      <c r="W41" s="357"/>
      <c r="X41" s="357"/>
      <c r="Y41" s="494"/>
      <c r="Z41" s="495"/>
      <c r="AD41" s="357"/>
      <c r="AE41" s="496"/>
      <c r="AF41" s="769" t="s">
        <v>161</v>
      </c>
      <c r="AG41" s="769"/>
      <c r="AH41" s="497"/>
      <c r="AI41" s="237"/>
      <c r="AJ41" s="237"/>
    </row>
    <row r="42" spans="8:36" ht="13.5" thickTop="1" x14ac:dyDescent="0.2">
      <c r="I42" s="65" t="str">
        <f>IF(R52&lt;&gt;"OK","","  At end of ")</f>
        <v/>
      </c>
      <c r="P42" s="358"/>
      <c r="Q42" s="375" t="str">
        <f t="shared" ref="Q42:Q43" si="2">"Ln"&amp;ROW()</f>
        <v>Ln42</v>
      </c>
      <c r="R42" s="491" t="s">
        <v>91</v>
      </c>
      <c r="S42" s="492"/>
      <c r="T42" s="493" t="str">
        <f>IF(AND(D15&gt;0,D18&gt;0),ROUND(D15/D16,3),"")</f>
        <v/>
      </c>
      <c r="U42" s="413"/>
      <c r="V42" s="357"/>
      <c r="W42" s="357"/>
      <c r="X42" s="357"/>
      <c r="Y42" s="357"/>
      <c r="Z42" s="357"/>
      <c r="AA42" s="357"/>
      <c r="AB42" s="357"/>
      <c r="AC42" s="357"/>
      <c r="AD42" s="357"/>
      <c r="AE42" s="357"/>
      <c r="AF42" s="357"/>
      <c r="AG42" s="357"/>
      <c r="AH42" s="357"/>
      <c r="AI42" s="237"/>
      <c r="AJ42" s="237"/>
    </row>
    <row r="43" spans="8:36" ht="13.5" thickBot="1" x14ac:dyDescent="0.25">
      <c r="I43" s="66" t="str">
        <f>IF(R52&lt;&gt;"OK","",TEXT(D17,"##.0")&amp;" Hr Trip . . ")</f>
        <v/>
      </c>
      <c r="P43" s="358"/>
      <c r="Q43" s="375" t="str">
        <f t="shared" si="2"/>
        <v>Ln43</v>
      </c>
      <c r="R43" s="491" t="s">
        <v>95</v>
      </c>
      <c r="S43" s="492"/>
      <c r="T43" s="493" t="str">
        <f>IF(AND(D15&gt;0,D16&gt;0,D18&gt;0),ROUND((D15-D18)/D16,3),"")</f>
        <v/>
      </c>
      <c r="U43" s="413"/>
      <c r="V43" s="357"/>
      <c r="W43" s="357"/>
      <c r="X43" s="357"/>
      <c r="Y43" s="357"/>
      <c r="Z43" s="357"/>
      <c r="AA43" s="498" t="str">
        <f>IF(U8=U10,"OK",IF(AA44&gt;U10,"OUT","OK"))</f>
        <v>OK</v>
      </c>
      <c r="AB43" s="415" t="s">
        <v>164</v>
      </c>
      <c r="AC43" s="357"/>
      <c r="AD43" s="357"/>
      <c r="AE43" s="498" t="str">
        <f>IF(U8=U10,"OK",IF(AND(AE44&gt;=AG44,AE44&lt;=AH44),"OK","OUT"))</f>
        <v>OK</v>
      </c>
      <c r="AF43" s="357"/>
      <c r="AG43" s="357"/>
      <c r="AH43" s="357"/>
      <c r="AI43" s="237"/>
      <c r="AJ43" s="237"/>
    </row>
    <row r="44" spans="8:36" ht="14.25" thickTop="1" thickBot="1" x14ac:dyDescent="0.25">
      <c r="I44" s="62" t="str">
        <f>IF(R52&lt;&gt;"OK","","Reserve is ~ "&amp;TEXT(T43,"##.0")&amp;" Hrs")</f>
        <v/>
      </c>
      <c r="P44" s="358"/>
      <c r="Q44" s="357"/>
      <c r="R44" s="357"/>
      <c r="S44" s="357"/>
      <c r="T44" s="357"/>
      <c r="U44" s="357"/>
      <c r="V44" s="357"/>
      <c r="W44" s="357"/>
      <c r="X44" s="357"/>
      <c r="Y44" s="416" t="s">
        <v>53</v>
      </c>
      <c r="Z44" s="417" t="s">
        <v>1</v>
      </c>
      <c r="AA44" s="499">
        <f ca="1">J19</f>
        <v>1725.85</v>
      </c>
      <c r="AB44" s="419"/>
      <c r="AC44" s="420"/>
      <c r="AD44" s="500" t="s">
        <v>40</v>
      </c>
      <c r="AE44" s="499">
        <f ca="1">K20</f>
        <v>42.226676710026936</v>
      </c>
      <c r="AF44" s="423" t="s">
        <v>61</v>
      </c>
      <c r="AG44" s="501">
        <f ca="1">VLOOKUP(AA44,Z47:AH50,8)</f>
        <v>35</v>
      </c>
      <c r="AH44" s="502">
        <f ca="1">VLOOKUP(AA44,Z47:AH50,9)</f>
        <v>47.3</v>
      </c>
      <c r="AI44" s="237"/>
      <c r="AJ44" s="237"/>
    </row>
    <row r="45" spans="8:36" ht="13.5" thickTop="1" x14ac:dyDescent="0.2">
      <c r="I45" s="64" t="str">
        <f>IF(R52&lt;&gt;"OK","",IF(R53&lt;&gt;"OK","Caution: &lt; 1 HR",""))</f>
        <v/>
      </c>
      <c r="P45" s="358"/>
      <c r="Q45" s="370" t="s">
        <v>175</v>
      </c>
      <c r="R45" s="371"/>
      <c r="S45" s="482"/>
      <c r="T45" s="482"/>
      <c r="U45" s="357"/>
      <c r="V45" s="357"/>
      <c r="W45" s="357"/>
      <c r="X45" s="357"/>
      <c r="Y45" s="426" t="s">
        <v>48</v>
      </c>
      <c r="Z45" s="427"/>
      <c r="AA45" s="428" t="s">
        <v>67</v>
      </c>
      <c r="AB45" s="429"/>
      <c r="AC45" s="430"/>
      <c r="AD45" s="427"/>
      <c r="AE45" s="431" t="s">
        <v>66</v>
      </c>
      <c r="AF45" s="427"/>
      <c r="AG45" s="432" t="s">
        <v>46</v>
      </c>
      <c r="AH45" s="433" t="s">
        <v>46</v>
      </c>
      <c r="AI45" s="237"/>
      <c r="AJ45" s="237"/>
    </row>
    <row r="46" spans="8:36" ht="13.5" thickBot="1" x14ac:dyDescent="0.25">
      <c r="P46" s="358"/>
      <c r="Q46" s="375" t="str">
        <f t="shared" ref="Q46:Q53" si="3">"Ln"&amp;ROW()</f>
        <v>Ln46</v>
      </c>
      <c r="R46" s="503" t="str">
        <f>IF(AND(C7="",(E7+C9+E9)&gt;0),"WARN","OK")</f>
        <v>OK</v>
      </c>
      <c r="S46" s="504" t="s">
        <v>89</v>
      </c>
      <c r="T46" s="505"/>
      <c r="U46" s="357"/>
      <c r="V46" s="357"/>
      <c r="W46" s="357"/>
      <c r="X46" s="357"/>
      <c r="Y46" s="426" t="s">
        <v>54</v>
      </c>
      <c r="Z46" s="434" t="s">
        <v>41</v>
      </c>
      <c r="AA46" s="434" t="s">
        <v>42</v>
      </c>
      <c r="AB46" s="435" t="s">
        <v>43</v>
      </c>
      <c r="AC46" s="436" t="s">
        <v>41</v>
      </c>
      <c r="AD46" s="437" t="s">
        <v>42</v>
      </c>
      <c r="AE46" s="438" t="s">
        <v>44</v>
      </c>
      <c r="AF46" s="439" t="s">
        <v>45</v>
      </c>
      <c r="AG46" s="440" t="s">
        <v>68</v>
      </c>
      <c r="AH46" s="441" t="s">
        <v>69</v>
      </c>
      <c r="AI46" s="237"/>
      <c r="AJ46" s="237"/>
    </row>
    <row r="47" spans="8:36" ht="13.5" thickTop="1" x14ac:dyDescent="0.2">
      <c r="P47" s="358"/>
      <c r="Q47" s="375" t="str">
        <f t="shared" si="3"/>
        <v>Ln47</v>
      </c>
      <c r="R47" s="503" t="str">
        <f>IF(C7+E7+C9+E9&gt;0,"INFO","OK")</f>
        <v>OK</v>
      </c>
      <c r="S47" s="504" t="s">
        <v>92</v>
      </c>
      <c r="T47" s="505"/>
      <c r="U47" s="357"/>
      <c r="V47" s="357"/>
      <c r="W47" s="357"/>
      <c r="X47" s="357"/>
      <c r="Y47" s="426" t="s">
        <v>55</v>
      </c>
      <c r="Z47" s="442">
        <f>Z40</f>
        <v>1500</v>
      </c>
      <c r="AA47" s="443">
        <f>Z36</f>
        <v>1948</v>
      </c>
      <c r="AB47" s="444">
        <f>+AA47-Z47</f>
        <v>448</v>
      </c>
      <c r="AC47" s="445">
        <f>AE40</f>
        <v>35</v>
      </c>
      <c r="AD47" s="446">
        <f>AE36</f>
        <v>35</v>
      </c>
      <c r="AE47" s="447">
        <f>AD47-AC47</f>
        <v>0</v>
      </c>
      <c r="AF47" s="448">
        <f>IF(OR(AB47=0,AE47=0),0,ROUND(AE47/AB47,5))</f>
        <v>0</v>
      </c>
      <c r="AG47" s="449">
        <f ca="1">IF(AND(AA44&gt;=Z47,AA44&lt;AA47),AC47+((AA44-Z47)*AF47),AC47)</f>
        <v>35</v>
      </c>
      <c r="AH47" s="450">
        <f>AD50</f>
        <v>47.3</v>
      </c>
      <c r="AI47" s="237"/>
      <c r="AJ47" s="237"/>
    </row>
    <row r="48" spans="8:36" x14ac:dyDescent="0.2">
      <c r="P48" s="358"/>
      <c r="Q48" s="375" t="str">
        <f t="shared" si="3"/>
        <v>Ln48</v>
      </c>
      <c r="R48" s="503" t="str">
        <f>IF(AND(C7&gt;0,D15=0),"WARN","OK")</f>
        <v>OK</v>
      </c>
      <c r="S48" s="506" t="s">
        <v>111</v>
      </c>
      <c r="T48" s="507"/>
      <c r="U48" s="357"/>
      <c r="V48" s="357"/>
      <c r="W48" s="357"/>
      <c r="X48" s="357"/>
      <c r="Y48" s="426" t="s">
        <v>56</v>
      </c>
      <c r="Z48" s="451">
        <f>AA47</f>
        <v>1948</v>
      </c>
      <c r="AA48" s="452">
        <f>AA32</f>
        <v>2550</v>
      </c>
      <c r="AB48" s="453">
        <f>+AA48-Z48</f>
        <v>602</v>
      </c>
      <c r="AC48" s="454">
        <f>IF(AD48=AD47,AC47,AD47)</f>
        <v>35</v>
      </c>
      <c r="AD48" s="455">
        <f>AF32</f>
        <v>41</v>
      </c>
      <c r="AE48" s="447">
        <f>AD48-AC48</f>
        <v>6</v>
      </c>
      <c r="AF48" s="448">
        <f>IF(OR(AB48=0,AE48=0),0,ROUND(AE48/AB48,5))</f>
        <v>9.9699999999999997E-3</v>
      </c>
      <c r="AG48" s="449">
        <f ca="1">IF(AND(AA44&gt;=Z48,AA44&lt;AA48),AC48+((AA44-Z48)*AF48),AC48)</f>
        <v>35</v>
      </c>
      <c r="AH48" s="213">
        <f>AH47</f>
        <v>47.3</v>
      </c>
      <c r="AI48" s="237"/>
      <c r="AJ48" s="237"/>
    </row>
    <row r="49" spans="8:36" x14ac:dyDescent="0.2">
      <c r="P49" s="358"/>
      <c r="Q49" s="375" t="str">
        <f t="shared" si="3"/>
        <v>Ln49</v>
      </c>
      <c r="R49" s="503" t="str">
        <f>IF(AND(C7&gt;0,D16=0),"WARN","OK")</f>
        <v>OK</v>
      </c>
      <c r="S49" s="506" t="s">
        <v>113</v>
      </c>
      <c r="T49" s="507"/>
      <c r="U49" s="357"/>
      <c r="V49" s="357"/>
      <c r="W49" s="357"/>
      <c r="X49" s="357"/>
      <c r="Y49" s="426" t="s">
        <v>54</v>
      </c>
      <c r="Z49" s="451">
        <f>AA48</f>
        <v>2550</v>
      </c>
      <c r="AA49" s="452">
        <f>AC32</f>
        <v>2550</v>
      </c>
      <c r="AB49" s="453">
        <f>+AA49-Z49</f>
        <v>0</v>
      </c>
      <c r="AC49" s="454">
        <f>IF(AD49=AD48,AC48,AD48)</f>
        <v>41</v>
      </c>
      <c r="AD49" s="455">
        <f>AH32</f>
        <v>47.3</v>
      </c>
      <c r="AE49" s="447">
        <f>AD49-AC49</f>
        <v>6.2999999999999972</v>
      </c>
      <c r="AF49" s="448">
        <f>IF(OR(AB49=0,AE49=0),0,ROUND(AE49/AB49,5))</f>
        <v>0</v>
      </c>
      <c r="AG49" s="449">
        <f ca="1">IF(AND(AA44&gt;=Z49,AA44&lt;AA49),AC49+((AA44-Z49)*AF49),AC49)</f>
        <v>41</v>
      </c>
      <c r="AH49" s="213">
        <f>AH48</f>
        <v>47.3</v>
      </c>
      <c r="AI49" s="237"/>
      <c r="AJ49" s="237"/>
    </row>
    <row r="50" spans="8:36" ht="13.5" thickBot="1" x14ac:dyDescent="0.25">
      <c r="P50" s="358"/>
      <c r="Q50" s="375" t="str">
        <f t="shared" si="3"/>
        <v>Ln50</v>
      </c>
      <c r="R50" s="503" t="str">
        <f>IF(AND(C7&gt;0,D17=0),"WARN","OK")</f>
        <v>OK</v>
      </c>
      <c r="S50" s="506" t="s">
        <v>112</v>
      </c>
      <c r="T50" s="507"/>
      <c r="U50" s="357"/>
      <c r="V50" s="357"/>
      <c r="W50" s="357"/>
      <c r="X50" s="357"/>
      <c r="Y50" s="458" t="s">
        <v>57</v>
      </c>
      <c r="Z50" s="459">
        <f>AA49</f>
        <v>2550</v>
      </c>
      <c r="AA50" s="460">
        <f>AC40</f>
        <v>2550</v>
      </c>
      <c r="AB50" s="461">
        <f>+AA50-Z50</f>
        <v>0</v>
      </c>
      <c r="AC50" s="462">
        <f>IF(AD50=AD49,AC49,AD49)</f>
        <v>41</v>
      </c>
      <c r="AD50" s="463">
        <f>AH40</f>
        <v>47.3</v>
      </c>
      <c r="AE50" s="464">
        <f>AD50-AC50</f>
        <v>6.2999999999999972</v>
      </c>
      <c r="AF50" s="465">
        <f>IF(OR(AB50=0,AE50=0),0,ROUND(AE50/AB50,5))</f>
        <v>0</v>
      </c>
      <c r="AG50" s="466">
        <f ca="1">IF(AND(AA44&gt;=Z50,AA44&lt;AA50),AC50+((AA44-Z50)*AF50),AC50)</f>
        <v>41</v>
      </c>
      <c r="AH50" s="217">
        <f>AH49</f>
        <v>47.3</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358"/>
      <c r="Q51" s="375" t="str">
        <f t="shared" si="3"/>
        <v>Ln51</v>
      </c>
      <c r="R51" s="503" t="str">
        <f>IF(D18&gt;D15,"ERR","OK")</f>
        <v>OK</v>
      </c>
      <c r="S51" s="506" t="s">
        <v>94</v>
      </c>
      <c r="T51" s="507"/>
      <c r="U51" s="357"/>
      <c r="V51" s="357"/>
      <c r="W51" s="357"/>
      <c r="X51" s="357"/>
      <c r="Y51" s="357"/>
      <c r="Z51" s="357"/>
      <c r="AA51" s="357"/>
      <c r="AB51" s="357"/>
      <c r="AC51" s="357"/>
      <c r="AD51" s="357"/>
      <c r="AE51" s="357"/>
      <c r="AF51" s="357"/>
      <c r="AG51" s="357"/>
      <c r="AH51" s="357"/>
      <c r="AI51" s="237"/>
      <c r="AJ51" s="237"/>
    </row>
    <row r="52" spans="8:36" x14ac:dyDescent="0.2">
      <c r="I52" s="758"/>
      <c r="J52" s="762"/>
      <c r="K52" s="762"/>
      <c r="L52" s="762"/>
      <c r="M52" s="763"/>
      <c r="P52" s="358"/>
      <c r="Q52" s="375" t="str">
        <f t="shared" si="3"/>
        <v>Ln52</v>
      </c>
      <c r="R52" s="503" t="str">
        <f>IF(OR(D15=0,D16=0,D17=0),"WARN","OK")</f>
        <v>WARN</v>
      </c>
      <c r="S52" s="506" t="s">
        <v>110</v>
      </c>
      <c r="T52" s="507"/>
      <c r="U52" s="357"/>
      <c r="V52" s="357"/>
      <c r="W52" s="357"/>
      <c r="X52" s="357"/>
      <c r="Y52" s="357"/>
      <c r="Z52" s="357"/>
      <c r="AA52" s="357"/>
      <c r="AB52" s="357"/>
      <c r="AC52" s="357"/>
      <c r="AD52" s="357"/>
      <c r="AE52" s="357"/>
      <c r="AF52" s="357"/>
      <c r="AG52" s="357"/>
      <c r="AH52" s="357"/>
      <c r="AI52" s="237"/>
      <c r="AJ52" s="237"/>
    </row>
    <row r="53" spans="8:36" ht="13.5" thickBot="1" x14ac:dyDescent="0.25">
      <c r="I53" s="759"/>
      <c r="J53" s="764"/>
      <c r="K53" s="764"/>
      <c r="L53" s="764"/>
      <c r="M53" s="765"/>
      <c r="P53" s="358"/>
      <c r="Q53" s="375" t="str">
        <f t="shared" si="3"/>
        <v>Ln53</v>
      </c>
      <c r="R53" s="503" t="str">
        <f>IF(AND(D15&gt;0,D16&gt;0,D18&gt;0,T43&lt;1),"WARN","OK")</f>
        <v>OK</v>
      </c>
      <c r="S53" s="506" t="s">
        <v>90</v>
      </c>
      <c r="T53" s="507"/>
      <c r="U53" s="357"/>
      <c r="V53" s="357"/>
      <c r="W53" s="357"/>
      <c r="X53" s="357"/>
      <c r="Y53" s="357"/>
      <c r="Z53" s="357"/>
      <c r="AA53" s="357"/>
      <c r="AB53" s="357"/>
      <c r="AC53" s="357"/>
      <c r="AD53" s="357"/>
      <c r="AE53" s="357"/>
      <c r="AF53" s="357"/>
      <c r="AG53" s="357"/>
      <c r="AH53" s="357"/>
      <c r="AI53" s="237"/>
      <c r="AJ53" s="237"/>
    </row>
    <row r="54" spans="8:36" ht="13.5" thickTop="1" x14ac:dyDescent="0.2">
      <c r="I54" s="650" t="str">
        <f>IF(C4&lt;&gt;9999,"","Env "&amp;Z23&amp;"  "&amp;AA23&amp;"  "&amp;AA24&amp;"  "&amp;AA25&amp;"  "&amp;AA26&amp;"     "&amp;AC23&amp;"  "&amp;AD23&amp;"  "&amp;AD24&amp;"  "&amp;AD25&amp;"  "&amp;AD26)</f>
        <v/>
      </c>
      <c r="P54" s="358"/>
      <c r="Q54" s="357"/>
      <c r="R54" s="357"/>
      <c r="S54" s="357"/>
      <c r="T54" s="357"/>
      <c r="U54" s="357"/>
      <c r="V54" s="357"/>
      <c r="W54" s="357"/>
      <c r="X54" s="357"/>
      <c r="Y54" s="357"/>
      <c r="Z54" s="357"/>
      <c r="AA54" s="357"/>
      <c r="AB54" s="357"/>
      <c r="AC54" s="357"/>
      <c r="AD54" s="357"/>
      <c r="AE54" s="357"/>
      <c r="AF54" s="357"/>
      <c r="AG54" s="357"/>
      <c r="AH54" s="357"/>
      <c r="AI54" s="237"/>
      <c r="AJ54" s="237"/>
    </row>
    <row r="55" spans="8:36" x14ac:dyDescent="0.2">
      <c r="I55" s="651" t="str">
        <f>IF(C4&lt;&gt;9999,"","Fuel  T "&amp;T19&amp;"   F "&amp;T18&amp;"      Load   0 "&amp;U37&amp;"  T "&amp;U38&amp;"  F "&amp;U39)</f>
        <v/>
      </c>
      <c r="P55" s="358"/>
      <c r="Q55" s="357"/>
      <c r="R55" s="357"/>
      <c r="S55" s="357"/>
      <c r="T55" s="357"/>
      <c r="U55" s="357"/>
      <c r="V55" s="357"/>
      <c r="W55" s="357"/>
      <c r="X55" s="357"/>
      <c r="Y55" s="357"/>
      <c r="Z55" s="357"/>
      <c r="AA55" s="357"/>
      <c r="AB55" s="357"/>
      <c r="AC55" s="357"/>
      <c r="AD55" s="357"/>
      <c r="AE55" s="357"/>
      <c r="AF55" s="357"/>
      <c r="AG55" s="357"/>
      <c r="AH55" s="357"/>
      <c r="AI55" s="237"/>
      <c r="AJ55" s="237"/>
    </row>
    <row r="56" spans="8:36" x14ac:dyDescent="0.2">
      <c r="P56" s="358"/>
      <c r="Q56" s="357"/>
      <c r="R56" s="357"/>
      <c r="S56" s="357"/>
      <c r="T56" s="357"/>
      <c r="U56" s="357"/>
      <c r="V56" s="357"/>
      <c r="W56" s="357"/>
      <c r="X56" s="357"/>
      <c r="Y56" s="357"/>
      <c r="Z56" s="357"/>
      <c r="AA56" s="357"/>
      <c r="AB56" s="357"/>
      <c r="AC56" s="357"/>
      <c r="AD56" s="357"/>
      <c r="AE56" s="357"/>
      <c r="AF56" s="357"/>
      <c r="AG56" s="357"/>
      <c r="AH56" s="357"/>
      <c r="AI56" s="237"/>
      <c r="AJ56" s="237"/>
    </row>
    <row r="59" spans="8:36" x14ac:dyDescent="0.2">
      <c r="I59" s="637"/>
    </row>
  </sheetData>
  <sheetProtection algorithmName="SHA-512" hashValue="LAr+R62Us7BurG2w1rTZIJaTeTBqCisAFsqmmGRO3UIdmA772wQM0EGCem8zTo+fywxV8SAGLEWv/rAZiFXgXg==" saltValue="WnQqBvkytPCUE04hV2K00Q==" spinCount="100000" sheet="1" selectLockedCells="1"/>
  <mergeCells count="44">
    <mergeCell ref="J2:K2"/>
    <mergeCell ref="J3:K3"/>
    <mergeCell ref="B21:B22"/>
    <mergeCell ref="D17:E17"/>
    <mergeCell ref="D18:E18"/>
    <mergeCell ref="C21:F22"/>
    <mergeCell ref="B1:H1"/>
    <mergeCell ref="D16:E16"/>
    <mergeCell ref="B7:B8"/>
    <mergeCell ref="B9:B10"/>
    <mergeCell ref="E7:F8"/>
    <mergeCell ref="C7:D8"/>
    <mergeCell ref="C9:D10"/>
    <mergeCell ref="C4:D4"/>
    <mergeCell ref="D15:E15"/>
    <mergeCell ref="C11:F11"/>
    <mergeCell ref="E9:F10"/>
    <mergeCell ref="C12:F12"/>
    <mergeCell ref="C2:E2"/>
    <mergeCell ref="D3:F3"/>
    <mergeCell ref="D30:E30"/>
    <mergeCell ref="C23:F23"/>
    <mergeCell ref="C24:F24"/>
    <mergeCell ref="F28:H28"/>
    <mergeCell ref="D28:E28"/>
    <mergeCell ref="F30:H30"/>
    <mergeCell ref="C25:F25"/>
    <mergeCell ref="D29:E29"/>
    <mergeCell ref="J51:M53"/>
    <mergeCell ref="I51:I53"/>
    <mergeCell ref="AA35:AB35"/>
    <mergeCell ref="AF35:AG35"/>
    <mergeCell ref="AA36:AB36"/>
    <mergeCell ref="AF36:AG36"/>
    <mergeCell ref="AC37:AC39"/>
    <mergeCell ref="AH37:AH39"/>
    <mergeCell ref="AF41:AG41"/>
    <mergeCell ref="AH13:AH15"/>
    <mergeCell ref="AF17:AG17"/>
    <mergeCell ref="AA11:AB11"/>
    <mergeCell ref="AF11:AG11"/>
    <mergeCell ref="AA12:AB12"/>
    <mergeCell ref="AF12:AG12"/>
    <mergeCell ref="AC13:AC15"/>
  </mergeCells>
  <phoneticPr fontId="5" type="noConversion"/>
  <conditionalFormatting sqref="T37:T38">
    <cfRule type="expression" dxfId="1176" priority="23" stopIfTrue="1">
      <formula>S37=""</formula>
    </cfRule>
  </conditionalFormatting>
  <conditionalFormatting sqref="I26 I28">
    <cfRule type="expression" dxfId="1175" priority="24" stopIfTrue="1">
      <formula>E7=""</formula>
    </cfRule>
  </conditionalFormatting>
  <conditionalFormatting sqref="I27 I29:I30">
    <cfRule type="expression" dxfId="1174" priority="25" stopIfTrue="1">
      <formula>C9=""</formula>
    </cfRule>
  </conditionalFormatting>
  <conditionalFormatting sqref="D12">
    <cfRule type="expression" dxfId="1173" priority="28" stopIfTrue="1">
      <formula>OR(D12&gt;#REF!,D11+D12&gt;#REF!)</formula>
    </cfRule>
  </conditionalFormatting>
  <conditionalFormatting sqref="D11">
    <cfRule type="expression" dxfId="1172" priority="29" stopIfTrue="1">
      <formula>OR(D11&gt;#REF!,D11+D12&gt;#REF!)</formula>
    </cfRule>
  </conditionalFormatting>
  <conditionalFormatting sqref="U37:U39 V19">
    <cfRule type="expression" dxfId="1171" priority="30" stopIfTrue="1">
      <formula>S19=""</formula>
    </cfRule>
  </conditionalFormatting>
  <conditionalFormatting sqref="C25">
    <cfRule type="expression" dxfId="1170" priority="31" stopIfTrue="1">
      <formula>AND(C7="",E7+C9+E9&gt;0)</formula>
    </cfRule>
  </conditionalFormatting>
  <conditionalFormatting sqref="B30">
    <cfRule type="expression" dxfId="1169" priority="54" stopIfTrue="1">
      <formula>D29&gt;D28</formula>
    </cfRule>
  </conditionalFormatting>
  <conditionalFormatting sqref="D30:E30">
    <cfRule type="expression" dxfId="1168" priority="55" stopIfTrue="1">
      <formula>D29&gt;D28</formula>
    </cfRule>
  </conditionalFormatting>
  <conditionalFormatting sqref="F30:H30">
    <cfRule type="expression" dxfId="1167" priority="56" stopIfTrue="1">
      <formula>D29&gt;D28</formula>
    </cfRule>
  </conditionalFormatting>
  <conditionalFormatting sqref="B23 B25">
    <cfRule type="cellIs" dxfId="1166" priority="58" stopIfTrue="1" operator="notEqual">
      <formula>""</formula>
    </cfRule>
  </conditionalFormatting>
  <conditionalFormatting sqref="C24:F24">
    <cfRule type="cellIs" dxfId="1165" priority="59" stopIfTrue="1" operator="notEqual">
      <formula>""</formula>
    </cfRule>
  </conditionalFormatting>
  <conditionalFormatting sqref="B24">
    <cfRule type="cellIs" dxfId="1164" priority="60" stopIfTrue="1" operator="notEqual">
      <formula>""</formula>
    </cfRule>
  </conditionalFormatting>
  <conditionalFormatting sqref="R46:R53 R29:R31 R8 R10">
    <cfRule type="cellIs" dxfId="1163" priority="61" stopIfTrue="1" operator="notEqual">
      <formula>""</formula>
    </cfRule>
  </conditionalFormatting>
  <conditionalFormatting sqref="S37:S39">
    <cfRule type="expression" dxfId="1162" priority="62" stopIfTrue="1">
      <formula>S37=""</formula>
    </cfRule>
  </conditionalFormatting>
  <conditionalFormatting sqref="R18">
    <cfRule type="cellIs" dxfId="1161" priority="63" stopIfTrue="1" operator="notEqual">
      <formula>""</formula>
    </cfRule>
  </conditionalFormatting>
  <conditionalFormatting sqref="J5">
    <cfRule type="expression" dxfId="1160" priority="64" stopIfTrue="1">
      <formula>expired=TRUE</formula>
    </cfRule>
  </conditionalFormatting>
  <conditionalFormatting sqref="B1:H1">
    <cfRule type="expression" dxfId="1159" priority="65" stopIfTrue="1">
      <formula>expired=TRUE</formula>
    </cfRule>
    <cfRule type="expression" dxfId="1158" priority="66" stopIfTrue="1">
      <formula>old_ver=TRUE</formula>
    </cfRule>
  </conditionalFormatting>
  <conditionalFormatting sqref="I3">
    <cfRule type="expression" dxfId="1157" priority="67" stopIfTrue="1">
      <formula>D3=""</formula>
    </cfRule>
  </conditionalFormatting>
  <conditionalFormatting sqref="J2">
    <cfRule type="expression" dxfId="1156" priority="68" stopIfTrue="1">
      <formula>D3=""</formula>
    </cfRule>
  </conditionalFormatting>
  <conditionalFormatting sqref="L2">
    <cfRule type="expression" dxfId="1155" priority="69" stopIfTrue="1">
      <formula>D3=""</formula>
    </cfRule>
  </conditionalFormatting>
  <conditionalFormatting sqref="L3">
    <cfRule type="expression" dxfId="1154" priority="70" stopIfTrue="1">
      <formula>D3=""</formula>
    </cfRule>
  </conditionalFormatting>
  <conditionalFormatting sqref="J3:K3">
    <cfRule type="expression" dxfId="1153" priority="71" stopIfTrue="1">
      <formula>D3=""</formula>
    </cfRule>
  </conditionalFormatting>
  <conditionalFormatting sqref="I2">
    <cfRule type="expression" dxfId="1152" priority="72" stopIfTrue="1">
      <formula>AND(D3="",C2="")</formula>
    </cfRule>
  </conditionalFormatting>
  <conditionalFormatting sqref="V21">
    <cfRule type="expression" dxfId="1151" priority="21" stopIfTrue="1">
      <formula>T21=""</formula>
    </cfRule>
  </conditionalFormatting>
  <conditionalFormatting sqref="E21:E22">
    <cfRule type="expression" dxfId="1150" priority="642" stopIfTrue="1">
      <formula>OR(AC19="out",AF19="out")</formula>
    </cfRule>
  </conditionalFormatting>
  <conditionalFormatting sqref="M17">
    <cfRule type="expression" dxfId="1149" priority="643" stopIfTrue="1">
      <formula>AE19="out"</formula>
    </cfRule>
  </conditionalFormatting>
  <conditionalFormatting sqref="K17">
    <cfRule type="expression" dxfId="1148" priority="644" stopIfTrue="1">
      <formula>AE19&lt;&gt;"OK"</formula>
    </cfRule>
  </conditionalFormatting>
  <conditionalFormatting sqref="F21:F22">
    <cfRule type="expression" dxfId="1147" priority="645" stopIfTrue="1">
      <formula>OR(AE19="out",AG19="out")</formula>
    </cfRule>
  </conditionalFormatting>
  <conditionalFormatting sqref="C21:C22">
    <cfRule type="expression" dxfId="1146" priority="646" stopIfTrue="1">
      <formula>OR(AA19="out",AE19="out")</formula>
    </cfRule>
  </conditionalFormatting>
  <conditionalFormatting sqref="D21:D22">
    <cfRule type="expression" dxfId="1145" priority="647" stopIfTrue="1">
      <formula>OR(AB19="out",#REF!="out")</formula>
    </cfRule>
  </conditionalFormatting>
  <conditionalFormatting sqref="F12">
    <cfRule type="expression" dxfId="1144" priority="654" stopIfTrue="1">
      <formula>OR(F12&gt;#REF!,F11+F12&gt;#REF!)</formula>
    </cfRule>
  </conditionalFormatting>
  <conditionalFormatting sqref="F11">
    <cfRule type="expression" dxfId="1143" priority="655" stopIfTrue="1">
      <formula>OR(F11&gt;#REF!,F11+F12&gt;#REF!)</formula>
    </cfRule>
  </conditionalFormatting>
  <conditionalFormatting sqref="K20">
    <cfRule type="expression" dxfId="1142" priority="659" stopIfTrue="1">
      <formula>AE43&lt;&gt;"OK"</formula>
    </cfRule>
  </conditionalFormatting>
  <conditionalFormatting sqref="J16">
    <cfRule type="expression" dxfId="1141" priority="798" stopIfTrue="1">
      <formula>R8&lt;&gt;"OK"</formula>
    </cfRule>
  </conditionalFormatting>
  <conditionalFormatting sqref="J19">
    <cfRule type="expression" dxfId="1140" priority="799" stopIfTrue="1">
      <formula>R10&lt;&gt;"OK"</formula>
    </cfRule>
  </conditionalFormatting>
  <conditionalFormatting sqref="B21">
    <cfRule type="expression" dxfId="1139" priority="800" stopIfTrue="1">
      <formula>R10&lt;&gt;"OK"</formula>
    </cfRule>
    <cfRule type="expression" dxfId="1138" priority="801" stopIfTrue="1">
      <formula>R11&lt;&gt;"OK"</formula>
    </cfRule>
  </conditionalFormatting>
  <conditionalFormatting sqref="V27">
    <cfRule type="expression" dxfId="1137" priority="19" stopIfTrue="1">
      <formula>T27=""</formula>
    </cfRule>
  </conditionalFormatting>
  <conditionalFormatting sqref="V26">
    <cfRule type="expression" dxfId="1136" priority="20" stopIfTrue="1">
      <formula>S26=""</formula>
    </cfRule>
  </conditionalFormatting>
  <conditionalFormatting sqref="D15:E15">
    <cfRule type="expression" dxfId="1135" priority="849" stopIfTrue="1">
      <formula>R18="err"</formula>
    </cfRule>
  </conditionalFormatting>
  <conditionalFormatting sqref="F23">
    <cfRule type="expression" dxfId="1134" priority="850" stopIfTrue="1">
      <formula>#REF!&lt;&gt;"OK"</formula>
    </cfRule>
  </conditionalFormatting>
  <conditionalFormatting sqref="S12:S15">
    <cfRule type="expression" dxfId="1133" priority="17" stopIfTrue="1">
      <formula>S12=""</formula>
    </cfRule>
  </conditionalFormatting>
  <conditionalFormatting sqref="M16">
    <cfRule type="expression" dxfId="1132" priority="890" stopIfTrue="1">
      <formula>J16&gt;U8</formula>
    </cfRule>
  </conditionalFormatting>
  <conditionalFormatting sqref="V18">
    <cfRule type="expression" dxfId="1131" priority="896" stopIfTrue="1">
      <formula>S18=""</formula>
    </cfRule>
  </conditionalFormatting>
  <conditionalFormatting sqref="E12">
    <cfRule type="expression" dxfId="1130" priority="921" stopIfTrue="1">
      <formula>OR(E12&gt;Y26,E11+E12&gt;Y44)</formula>
    </cfRule>
  </conditionalFormatting>
  <conditionalFormatting sqref="E11">
    <cfRule type="expression" dxfId="1129" priority="922" stopIfTrue="1">
      <formula>OR(E11&gt;Y25,E11+E12&gt;Y44)</formula>
    </cfRule>
  </conditionalFormatting>
  <conditionalFormatting sqref="B22">
    <cfRule type="expression" dxfId="1128" priority="1145" stopIfTrue="1">
      <formula>R11&lt;&gt;"OK"</formula>
    </cfRule>
    <cfRule type="expression" dxfId="1127" priority="1146" stopIfTrue="1">
      <formula>R29&lt;&gt;"OK"</formula>
    </cfRule>
  </conditionalFormatting>
  <conditionalFormatting sqref="C12">
    <cfRule type="expression" dxfId="1126" priority="1147" stopIfTrue="1">
      <formula>OR(C12&gt;V30,C11+C12&gt;V31)</formula>
    </cfRule>
  </conditionalFormatting>
  <conditionalFormatting sqref="C11">
    <cfRule type="expression" dxfId="1125" priority="1148" stopIfTrue="1">
      <formula>OR(C11&gt;V29,C11+C12&gt;V31)</formula>
    </cfRule>
  </conditionalFormatting>
  <conditionalFormatting sqref="C23:E23">
    <cfRule type="expression" dxfId="1124" priority="1149" stopIfTrue="1">
      <formula>R53&lt;&gt;"OK"</formula>
    </cfRule>
  </conditionalFormatting>
  <conditionalFormatting sqref="C7:D8">
    <cfRule type="expression" dxfId="1123" priority="1150" stopIfTrue="1">
      <formula>R46&lt;&gt;"OK"</formula>
    </cfRule>
  </conditionalFormatting>
  <conditionalFormatting sqref="D18:E18">
    <cfRule type="expression" dxfId="1122" priority="1151" stopIfTrue="1">
      <formula>R51&lt;&gt;"OK"</formula>
    </cfRule>
  </conditionalFormatting>
  <conditionalFormatting sqref="B18 B20">
    <cfRule type="expression" dxfId="1121" priority="1152" stopIfTrue="1">
      <formula>R51&lt;&gt;"OK"</formula>
    </cfRule>
  </conditionalFormatting>
  <conditionalFormatting sqref="D19">
    <cfRule type="expression" dxfId="1120" priority="1154" stopIfTrue="1">
      <formula>R53&lt;&gt;"ok"</formula>
    </cfRule>
  </conditionalFormatting>
  <conditionalFormatting sqref="S21">
    <cfRule type="expression" dxfId="1119" priority="10" stopIfTrue="1">
      <formula>T21=""</formula>
    </cfRule>
  </conditionalFormatting>
  <conditionalFormatting sqref="S22:S23">
    <cfRule type="expression" dxfId="1118" priority="9" stopIfTrue="1">
      <formula>S22=""</formula>
    </cfRule>
  </conditionalFormatting>
  <conditionalFormatting sqref="S20">
    <cfRule type="expression" dxfId="1117" priority="7">
      <formula>AND(OR(T20="",LEFT(T20,1)="F"),T18&lt;&gt;T19)</formula>
    </cfRule>
    <cfRule type="expression" dxfId="1116" priority="8">
      <formula>AND(LEFT(T20,1)&lt;&gt;"F",T18=T19)</formula>
    </cfRule>
  </conditionalFormatting>
  <conditionalFormatting sqref="R20">
    <cfRule type="cellIs" dxfId="1115" priority="6" stopIfTrue="1" operator="notEqual">
      <formula>""</formula>
    </cfRule>
  </conditionalFormatting>
  <conditionalFormatting sqref="V20">
    <cfRule type="expression" dxfId="1114" priority="5" stopIfTrue="1">
      <formula>T20=""</formula>
    </cfRule>
  </conditionalFormatting>
  <conditionalFormatting sqref="R11">
    <cfRule type="cellIs" dxfId="1113" priority="2" stopIfTrue="1" operator="notEqual">
      <formula>""</formula>
    </cfRule>
  </conditionalFormatting>
  <conditionalFormatting sqref="S19">
    <cfRule type="expression" dxfId="1112" priority="1" stopIfTrue="1">
      <formula>#REF!=""</formula>
    </cfRule>
  </conditionalFormatting>
  <dataValidations count="3">
    <dataValidation type="custom" allowBlank="1" showInputMessage="1" showErrorMessage="1" errorTitle="Input Error" error="Entry must be a NUMERIC VALUE!" sqref="D15:E17 C7:F12" xr:uid="{00000000-0002-0000-0200-000000000000}">
      <formula1>ISNUMBER(C7)</formula1>
    </dataValidation>
    <dataValidation type="date" allowBlank="1" showInputMessage="1" showErrorMessage="1" errorTitle="Input Error" error="A valid date must be entered into this cell.  Enter as  mm/dd/yy  _x000a__x000a_" sqref="C2:E2" xr:uid="{00000000-0002-0000-0200-000001000000}">
      <formula1>36526</formula1>
      <formula2>44196</formula2>
    </dataValidation>
    <dataValidation type="list" showInputMessage="1" showErrorMessage="1" errorTitle="STANDARD FUELING LEVEL" error="STANDARD FUELING LEVEL MUST BE ENTERED:_x000a_TABS,_x000a_Measured,_x000a_FULL" sqref="T20" xr:uid="{00000000-0002-0000-0200-000002000000}">
      <formula1>"TABS,Measured,FULL"</formula1>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61"/>
    <pageSetUpPr fitToPage="1"/>
  </sheetPr>
  <dimension ref="B1:AJ56"/>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5" width="4.7109375" customWidth="1"/>
    <col min="16" max="16" width="11.7109375" hidden="1" customWidth="1"/>
    <col min="17" max="17" width="9.7109375" hidden="1" customWidth="1"/>
    <col min="18" max="18" width="8.42578125" hidden="1" customWidth="1"/>
    <col min="19" max="19" width="19" hidden="1" customWidth="1"/>
    <col min="20" max="22" width="7.7109375" hidden="1" customWidth="1"/>
    <col min="23" max="23" width="29.42578125" hidden="1" customWidth="1"/>
    <col min="24" max="24" width="4.7109375" hidden="1" customWidth="1"/>
    <col min="25" max="25" width="3.5703125" hidden="1" customWidth="1"/>
    <col min="26" max="33" width="9.140625" hidden="1" customWidth="1"/>
    <col min="34" max="34" width="9.5703125" hidden="1" customWidth="1"/>
    <col min="35" max="36" width="9" hidden="1" customWidth="1"/>
    <col min="37" max="37" width="8.140625" customWidth="1"/>
  </cols>
  <sheetData>
    <row r="1" spans="2:36" ht="22.5" customHeight="1" thickBot="1" x14ac:dyDescent="0.25">
      <c r="B1" s="807" t="str">
        <f ca="1">status_msg</f>
        <v/>
      </c>
      <c r="C1" s="807"/>
      <c r="D1" s="807"/>
      <c r="E1" s="807"/>
      <c r="F1" s="807"/>
      <c r="G1" s="807"/>
      <c r="H1" s="807"/>
      <c r="I1" s="303" t="str">
        <f>Q1</f>
        <v>CAP 1240</v>
      </c>
      <c r="J1" s="303" t="str">
        <f>R1</f>
        <v>N99040</v>
      </c>
      <c r="K1" s="304"/>
      <c r="L1" s="301" t="str">
        <f>S1</f>
        <v>(180hp C 172P)  Long Range Tanks</v>
      </c>
      <c r="M1" s="302"/>
      <c r="P1" s="335" t="s">
        <v>178</v>
      </c>
      <c r="Q1" s="307" t="s">
        <v>141</v>
      </c>
      <c r="R1" s="307" t="s">
        <v>133</v>
      </c>
      <c r="S1" s="308" t="s">
        <v>180</v>
      </c>
      <c r="T1" s="308"/>
      <c r="U1" s="237"/>
      <c r="V1" s="237"/>
      <c r="W1" s="237"/>
      <c r="X1" s="237"/>
      <c r="Y1" s="237"/>
      <c r="Z1" s="237"/>
      <c r="AA1" s="237"/>
      <c r="AB1" s="237"/>
      <c r="AC1" s="237"/>
      <c r="AD1" s="237"/>
      <c r="AE1" s="237"/>
      <c r="AF1" s="237"/>
      <c r="AG1" s="237"/>
      <c r="AH1" s="237"/>
      <c r="AI1" s="237"/>
      <c r="AJ1" s="237"/>
    </row>
    <row r="2" spans="2:36" ht="15" customHeight="1" thickTop="1" thickBot="1" x14ac:dyDescent="0.25">
      <c r="B2" s="137" t="s">
        <v>131</v>
      </c>
      <c r="C2" s="808"/>
      <c r="D2" s="808"/>
      <c r="E2" s="809"/>
      <c r="F2" s="142" t="str">
        <f>IF(D3="","mm/dd/yy","(if not today)")</f>
        <v>mm/dd/yy</v>
      </c>
      <c r="H2" s="326"/>
      <c r="I2" s="138" t="s">
        <v>131</v>
      </c>
      <c r="J2" s="810" t="str">
        <f>IF(C3="","","Mission Symbol")&amp;"   Mission No:"</f>
        <v xml:space="preserve">   Mission No:</v>
      </c>
      <c r="K2" s="810"/>
      <c r="L2" s="327" t="s">
        <v>130</v>
      </c>
      <c r="P2" s="238"/>
      <c r="Q2" s="330" t="s">
        <v>173</v>
      </c>
      <c r="R2" s="330" t="s">
        <v>145</v>
      </c>
      <c r="S2" s="331" t="s">
        <v>172</v>
      </c>
      <c r="T2" s="332"/>
      <c r="U2" s="237"/>
      <c r="V2" s="237"/>
      <c r="W2" s="237"/>
      <c r="X2" s="237"/>
      <c r="Y2" s="237"/>
      <c r="Z2" s="237"/>
      <c r="AA2" s="237"/>
      <c r="AB2" s="237"/>
      <c r="AC2" s="237"/>
      <c r="AD2" s="237"/>
      <c r="AE2" s="237"/>
      <c r="AF2" s="237"/>
      <c r="AG2" s="237"/>
      <c r="AH2" s="237"/>
      <c r="AI2" s="237"/>
      <c r="AJ2" s="237"/>
    </row>
    <row r="3" spans="2:36" ht="15" customHeight="1" thickTop="1" thickBot="1" x14ac:dyDescent="0.25">
      <c r="B3" s="140" t="s">
        <v>137</v>
      </c>
      <c r="C3" s="328"/>
      <c r="D3" s="811"/>
      <c r="E3" s="811"/>
      <c r="F3" s="812"/>
      <c r="I3" s="131" t="str">
        <f ca="1">IF(AND(D3="",C2=""),"",IF(C2="",TODAY(),C2))</f>
        <v/>
      </c>
      <c r="J3" s="813" t="str">
        <f>IF(C3="","",IF(D3="","",C3))&amp;"      "&amp;IF(D3="","",D3)</f>
        <v xml:space="preserve">      </v>
      </c>
      <c r="K3" s="814"/>
      <c r="L3" s="132" t="str">
        <f>IF(C4="","",C4)</f>
        <v/>
      </c>
      <c r="P3" s="251"/>
      <c r="Q3" s="296"/>
      <c r="R3" s="296"/>
      <c r="S3" s="237"/>
      <c r="T3" s="237"/>
      <c r="U3" s="237"/>
      <c r="V3" s="237"/>
      <c r="W3" s="237"/>
      <c r="X3" s="237"/>
      <c r="Y3" s="237"/>
      <c r="Z3" s="241"/>
      <c r="AA3" s="237"/>
      <c r="AB3" s="244"/>
      <c r="AC3" s="237"/>
      <c r="AD3" s="237"/>
      <c r="AE3" s="237"/>
      <c r="AF3" s="237"/>
      <c r="AG3" s="237"/>
      <c r="AH3" s="237"/>
      <c r="AI3" s="237"/>
      <c r="AJ3" s="237"/>
    </row>
    <row r="4" spans="2:36" ht="12" customHeight="1" thickTop="1" x14ac:dyDescent="0.2">
      <c r="B4" s="140" t="s">
        <v>130</v>
      </c>
      <c r="C4" s="805"/>
      <c r="D4" s="806"/>
      <c r="E4" s="140"/>
      <c r="J4" s="139"/>
      <c r="P4" s="553" t="s">
        <v>222</v>
      </c>
      <c r="Q4" s="297"/>
      <c r="R4" s="297"/>
      <c r="S4" s="237"/>
      <c r="T4" s="298" t="s">
        <v>98</v>
      </c>
      <c r="U4" s="311"/>
      <c r="V4" s="299" t="s">
        <v>99</v>
      </c>
      <c r="W4" s="237"/>
      <c r="X4" s="237"/>
      <c r="Y4" s="237"/>
      <c r="Z4" s="237"/>
      <c r="AA4" s="237"/>
      <c r="AB4" s="237"/>
      <c r="AC4" s="237"/>
      <c r="AD4" s="237"/>
      <c r="AE4" s="237"/>
      <c r="AF4" s="237"/>
      <c r="AG4" s="237"/>
      <c r="AH4" s="237"/>
      <c r="AI4" s="237"/>
      <c r="AJ4" s="237"/>
    </row>
    <row r="5" spans="2:36" ht="12" customHeight="1" x14ac:dyDescent="0.2">
      <c r="I5" s="35"/>
      <c r="J5" s="36"/>
      <c r="K5" s="36"/>
      <c r="L5" s="36"/>
      <c r="M5" s="134" t="str">
        <f>"Release ID:   "&amp;release_nbr&amp;"    "&amp;TEXT(release_date,"dd mmm yyyy  ")</f>
        <v xml:space="preserve">Release ID:   R1    21 Mar 2020  </v>
      </c>
      <c r="P5" s="251"/>
      <c r="Q5" s="237"/>
      <c r="R5" s="237"/>
      <c r="S5" s="237"/>
      <c r="T5" s="237"/>
      <c r="U5" s="237"/>
      <c r="V5" s="237"/>
      <c r="W5" s="237"/>
      <c r="X5" s="237"/>
      <c r="Y5" s="237"/>
      <c r="Z5" s="237"/>
      <c r="AA5" s="237"/>
      <c r="AB5" s="237"/>
      <c r="AC5" s="237"/>
      <c r="AD5" s="237"/>
      <c r="AE5" s="237"/>
      <c r="AF5" s="237"/>
      <c r="AG5" s="237"/>
      <c r="AH5" s="237"/>
      <c r="AI5" s="237"/>
      <c r="AJ5" s="237"/>
    </row>
    <row r="6" spans="2:36" ht="12.75" customHeight="1" thickBot="1" x14ac:dyDescent="0.35">
      <c r="B6" s="3" t="s">
        <v>31</v>
      </c>
      <c r="I6" s="37" t="s">
        <v>0</v>
      </c>
      <c r="J6" s="38" t="s">
        <v>1</v>
      </c>
      <c r="K6" s="38" t="s">
        <v>2</v>
      </c>
      <c r="L6" s="39" t="s">
        <v>97</v>
      </c>
      <c r="M6" s="133" t="s">
        <v>3</v>
      </c>
      <c r="P6" s="251"/>
      <c r="Q6" s="333" t="s">
        <v>120</v>
      </c>
      <c r="R6" s="247"/>
      <c r="S6" s="247"/>
      <c r="T6" s="247"/>
      <c r="U6" s="190" t="s">
        <v>1</v>
      </c>
      <c r="V6" s="190" t="s">
        <v>2</v>
      </c>
      <c r="W6" s="336" t="s">
        <v>179</v>
      </c>
      <c r="X6" s="237"/>
      <c r="Y6" s="237"/>
      <c r="Z6" s="237"/>
      <c r="AA6" s="237"/>
      <c r="AB6" s="294" t="s">
        <v>163</v>
      </c>
      <c r="AC6" s="247"/>
      <c r="AD6" s="247"/>
      <c r="AE6" s="247"/>
      <c r="AF6" s="247"/>
      <c r="AG6" s="247"/>
      <c r="AH6" s="237"/>
      <c r="AI6" s="237"/>
      <c r="AJ6" s="237"/>
    </row>
    <row r="7" spans="2:36" ht="15" customHeight="1" thickTop="1" thickBot="1" x14ac:dyDescent="0.25">
      <c r="B7" s="803" t="s">
        <v>32</v>
      </c>
      <c r="C7" s="802"/>
      <c r="D7" s="804"/>
      <c r="E7" s="802"/>
      <c r="F7" s="800"/>
      <c r="H7" s="1"/>
      <c r="I7" s="13" t="s">
        <v>4</v>
      </c>
      <c r="J7" s="188">
        <f>U7</f>
        <v>1585</v>
      </c>
      <c r="K7" s="67">
        <f>V7</f>
        <v>37.85</v>
      </c>
      <c r="L7" s="68">
        <f>ROUND(J7*K7/1000,5)</f>
        <v>59.992249999999999</v>
      </c>
      <c r="M7" s="586" t="str">
        <f>IF(W7="","",W7)</f>
        <v>W/B: 30-Mar-2010  Craig Rood -</v>
      </c>
      <c r="P7" s="251"/>
      <c r="Q7" s="239" t="str">
        <f>"Ln"&amp;ROW()</f>
        <v>Ln7</v>
      </c>
      <c r="R7" s="254"/>
      <c r="S7" s="260" t="s">
        <v>4</v>
      </c>
      <c r="T7" s="261"/>
      <c r="U7" s="340">
        <v>1585</v>
      </c>
      <c r="V7" s="309">
        <v>37.85</v>
      </c>
      <c r="W7" s="310" t="s">
        <v>241</v>
      </c>
      <c r="X7" s="237"/>
      <c r="Y7" s="237"/>
      <c r="Z7" s="237"/>
      <c r="AA7" s="237"/>
      <c r="AB7" s="237"/>
      <c r="AC7" s="243"/>
      <c r="AD7" s="249" t="s">
        <v>162</v>
      </c>
      <c r="AE7" s="237"/>
      <c r="AF7" s="237"/>
      <c r="AG7" s="237"/>
      <c r="AH7" s="237"/>
      <c r="AI7" s="237"/>
      <c r="AJ7" s="237"/>
    </row>
    <row r="8" spans="2:36" ht="15" customHeight="1" thickTop="1" thickBot="1" x14ac:dyDescent="0.25">
      <c r="B8" s="803"/>
      <c r="C8" s="802"/>
      <c r="D8" s="804"/>
      <c r="E8" s="802"/>
      <c r="F8" s="800"/>
      <c r="H8" s="1"/>
      <c r="I8" s="125" t="s">
        <v>10</v>
      </c>
      <c r="J8" s="189">
        <f>D15*6</f>
        <v>0</v>
      </c>
      <c r="K8" s="69">
        <f>U18</f>
        <v>48</v>
      </c>
      <c r="L8" s="72">
        <f>ROUND((J8*K8)/1000,5)</f>
        <v>0</v>
      </c>
      <c r="M8" s="11" t="str">
        <f>V18&amp;" lbs Max ("&amp;T18&amp;" gals)  "&amp;IF(OR(T18=T19,T19="",T19=0),"",V19&amp;" lbs Tabs ("&amp;T19&amp;" gals)")</f>
        <v xml:space="preserve">300 lbs Max (50 gals)  </v>
      </c>
      <c r="P8" s="251"/>
      <c r="Q8" s="239" t="str">
        <f t="shared" ref="Q8:Q34" si="0">"Ln"&amp;ROW()</f>
        <v>Ln8</v>
      </c>
      <c r="R8" s="257" t="str">
        <f ca="1">IF(J16&gt;U8,"ERR","OK")</f>
        <v>OK</v>
      </c>
      <c r="S8" s="260" t="s">
        <v>168</v>
      </c>
      <c r="T8" s="261"/>
      <c r="U8" s="341">
        <v>2550</v>
      </c>
      <c r="V8" s="237"/>
      <c r="W8" s="237"/>
      <c r="X8" s="237"/>
      <c r="Y8" s="193"/>
      <c r="Z8" s="194"/>
      <c r="AA8" s="312">
        <v>2550</v>
      </c>
      <c r="AC8" s="625">
        <f>AA8</f>
        <v>2550</v>
      </c>
      <c r="AD8" s="237"/>
      <c r="AF8" s="314">
        <v>41</v>
      </c>
      <c r="AH8" s="315">
        <v>47.3</v>
      </c>
      <c r="AI8" s="237"/>
      <c r="AJ8" s="237"/>
    </row>
    <row r="9" spans="2:36" ht="15" customHeight="1" thickTop="1" thickBot="1" x14ac:dyDescent="0.25">
      <c r="B9" s="803" t="s">
        <v>33</v>
      </c>
      <c r="C9" s="802"/>
      <c r="D9" s="804"/>
      <c r="E9" s="802"/>
      <c r="F9" s="800"/>
      <c r="H9" s="1"/>
      <c r="I9" s="125" t="s">
        <v>11</v>
      </c>
      <c r="J9" s="189">
        <f>C7+E7</f>
        <v>0</v>
      </c>
      <c r="K9" s="69">
        <f>U26</f>
        <v>37</v>
      </c>
      <c r="L9" s="72">
        <f>ROUND((J9*K9)/1000,5)</f>
        <v>0</v>
      </c>
      <c r="M9" s="11" t="str">
        <f>IF(W26="","",W26)</f>
        <v/>
      </c>
      <c r="P9" s="251"/>
      <c r="Q9" s="239" t="str">
        <f t="shared" si="0"/>
        <v>Ln9</v>
      </c>
      <c r="R9" s="258"/>
      <c r="S9" s="260" t="s">
        <v>169</v>
      </c>
      <c r="T9" s="261"/>
      <c r="U9" s="341">
        <v>2557</v>
      </c>
      <c r="V9" s="252"/>
      <c r="W9" s="300" t="s">
        <v>176</v>
      </c>
      <c r="X9" s="237"/>
      <c r="Y9" s="196"/>
      <c r="Z9" s="192"/>
      <c r="AD9" s="237"/>
      <c r="AI9" s="237"/>
      <c r="AJ9" s="237"/>
    </row>
    <row r="10" spans="2:36" ht="15" customHeight="1" thickTop="1" thickBot="1" x14ac:dyDescent="0.3">
      <c r="B10" s="803"/>
      <c r="C10" s="802"/>
      <c r="D10" s="804"/>
      <c r="E10" s="802"/>
      <c r="F10" s="800"/>
      <c r="H10" s="1"/>
      <c r="I10" s="125" t="s">
        <v>12</v>
      </c>
      <c r="J10" s="189">
        <f>C9+E9</f>
        <v>0</v>
      </c>
      <c r="K10" s="69">
        <f>U27</f>
        <v>73</v>
      </c>
      <c r="L10" s="72">
        <f>ROUND((J10*K10)/1000,5)</f>
        <v>0</v>
      </c>
      <c r="M10" s="11" t="str">
        <f>IF(W27="","",W27)</f>
        <v/>
      </c>
      <c r="P10" s="251"/>
      <c r="Q10" s="239" t="str">
        <f t="shared" si="0"/>
        <v>Ln10</v>
      </c>
      <c r="R10" s="257" t="str">
        <f>IF(U8=U10,"OK",IF(J20&gt;U10,"WARN","OK"))</f>
        <v>OK</v>
      </c>
      <c r="S10" s="260" t="s">
        <v>170</v>
      </c>
      <c r="T10" s="261"/>
      <c r="U10" s="341">
        <v>2550</v>
      </c>
      <c r="V10" s="392"/>
      <c r="W10" s="393" t="s">
        <v>176</v>
      </c>
      <c r="X10" s="237"/>
      <c r="Y10" s="305" t="s">
        <v>155</v>
      </c>
      <c r="Z10" s="192"/>
      <c r="AD10" s="237"/>
      <c r="AI10" s="237"/>
      <c r="AJ10" s="237"/>
    </row>
    <row r="11" spans="2:36" ht="15" customHeight="1" thickTop="1" thickBot="1" x14ac:dyDescent="0.3">
      <c r="B11" s="6" t="s">
        <v>25</v>
      </c>
      <c r="C11" s="800"/>
      <c r="D11" s="801"/>
      <c r="E11" s="801"/>
      <c r="F11" s="802"/>
      <c r="H11" s="1"/>
      <c r="I11" s="19" t="s">
        <v>13</v>
      </c>
      <c r="J11" s="189">
        <f>C11</f>
        <v>0</v>
      </c>
      <c r="K11" s="69">
        <f>U29</f>
        <v>95</v>
      </c>
      <c r="L11" s="72">
        <f>ROUND((J11*K11)/1000,5)</f>
        <v>0</v>
      </c>
      <c r="M11" s="11" t="str">
        <f>V29&amp;" lbs max ("&amp;V31&amp;" max baggage 1+2)"</f>
        <v>120 lbs max (120 max baggage 1+2)</v>
      </c>
      <c r="P11" s="251"/>
      <c r="Q11" s="239" t="str">
        <f t="shared" si="0"/>
        <v>Ln11</v>
      </c>
      <c r="R11" s="384" t="str">
        <f>IF(U8=U10,"OK",IF(J19&gt;U11,"WARN","OK"))</f>
        <v>OK</v>
      </c>
      <c r="S11" s="255" t="s">
        <v>171</v>
      </c>
      <c r="T11" s="256"/>
      <c r="U11" s="259">
        <f>U10</f>
        <v>2550</v>
      </c>
      <c r="V11" s="237"/>
      <c r="W11" s="237"/>
      <c r="X11" s="237"/>
      <c r="Y11" s="305" t="s">
        <v>50</v>
      </c>
      <c r="Z11" s="192"/>
      <c r="AA11" s="815" t="s">
        <v>1</v>
      </c>
      <c r="AB11" s="815"/>
      <c r="AD11" s="237"/>
      <c r="AF11" s="815" t="s">
        <v>154</v>
      </c>
      <c r="AG11" s="815"/>
      <c r="AI11" s="237"/>
      <c r="AJ11" s="237"/>
    </row>
    <row r="12" spans="2:36" ht="15" customHeight="1" thickTop="1" thickBot="1" x14ac:dyDescent="0.3">
      <c r="B12" s="6" t="s">
        <v>26</v>
      </c>
      <c r="C12" s="800"/>
      <c r="D12" s="801"/>
      <c r="E12" s="801"/>
      <c r="F12" s="802"/>
      <c r="H12" s="1"/>
      <c r="I12" s="19" t="s">
        <v>14</v>
      </c>
      <c r="J12" s="189">
        <f>C12</f>
        <v>0</v>
      </c>
      <c r="K12" s="69">
        <f>U30</f>
        <v>123</v>
      </c>
      <c r="L12" s="72">
        <f>ROUND((J12*K12)/1000,5)</f>
        <v>0</v>
      </c>
      <c r="M12" s="11" t="str">
        <f>V30&amp;" lbs max"</f>
        <v>50 lbs max</v>
      </c>
      <c r="P12" s="251"/>
      <c r="Q12" s="239" t="str">
        <f t="shared" si="0"/>
        <v>Ln12</v>
      </c>
      <c r="R12" s="391"/>
      <c r="S12" s="400" t="s">
        <v>7</v>
      </c>
      <c r="T12" s="391"/>
      <c r="U12" s="391"/>
      <c r="V12" s="392"/>
      <c r="W12" s="393" t="s">
        <v>176</v>
      </c>
      <c r="X12" s="237"/>
      <c r="Y12" s="305" t="s">
        <v>56</v>
      </c>
      <c r="Z12" s="312">
        <v>1948</v>
      </c>
      <c r="AA12" s="815" t="s">
        <v>153</v>
      </c>
      <c r="AB12" s="815"/>
      <c r="AD12" s="237"/>
      <c r="AE12" s="626">
        <f>AE16</f>
        <v>35</v>
      </c>
      <c r="AF12" s="815" t="s">
        <v>153</v>
      </c>
      <c r="AG12" s="815"/>
      <c r="AI12" s="237"/>
      <c r="AJ12" s="237"/>
    </row>
    <row r="13" spans="2:36" ht="15" customHeight="1" thickTop="1" x14ac:dyDescent="0.25">
      <c r="B13" s="6"/>
      <c r="H13" s="1"/>
      <c r="I13" s="185"/>
      <c r="J13" s="187"/>
      <c r="K13" s="26"/>
      <c r="L13" s="92"/>
      <c r="M13" s="186"/>
      <c r="P13" s="251"/>
      <c r="Q13" s="239" t="str">
        <f t="shared" si="0"/>
        <v>Ln13</v>
      </c>
      <c r="R13" s="391"/>
      <c r="S13" s="400" t="s">
        <v>194</v>
      </c>
      <c r="T13" s="391"/>
      <c r="U13" s="391"/>
      <c r="V13" s="392"/>
      <c r="W13" s="393" t="s">
        <v>176</v>
      </c>
      <c r="X13" s="237"/>
      <c r="Y13" s="305" t="s">
        <v>57</v>
      </c>
      <c r="Z13" s="192"/>
      <c r="AC13" s="816" t="s">
        <v>157</v>
      </c>
      <c r="AD13" s="237"/>
      <c r="AH13" s="816" t="s">
        <v>167</v>
      </c>
      <c r="AI13" s="237"/>
      <c r="AJ13" s="237"/>
    </row>
    <row r="14" spans="2:36" ht="15" customHeight="1" thickBot="1" x14ac:dyDescent="0.35">
      <c r="B14" s="3"/>
      <c r="C14" s="235"/>
      <c r="D14" s="2"/>
      <c r="E14" s="2"/>
      <c r="F14" s="40" t="str">
        <f>IF(R20="err","","(Std Fueling "&amp;T19&amp;" gal ("&amp;T20&amp;"))")</f>
        <v>(Std Fueling 50 gal (FULL))</v>
      </c>
      <c r="H14" s="1"/>
      <c r="I14" s="15" t="s">
        <v>6</v>
      </c>
      <c r="J14" s="71">
        <f>SUM(J7:J13)</f>
        <v>1585</v>
      </c>
      <c r="K14" s="26"/>
      <c r="L14" s="70">
        <f>SUM(L7:L13)</f>
        <v>59.992249999999999</v>
      </c>
      <c r="M14" s="11" t="str">
        <f>"Max Ramp Weight: "&amp;TEXT(U9,"#,###")&amp;IF(U8&lt;&gt;U10," - Landing "&amp;TEXT(U10,"#,###"),"")</f>
        <v>Max Ramp Weight: 2,557</v>
      </c>
      <c r="P14" s="251"/>
      <c r="Q14" s="239" t="str">
        <f t="shared" si="0"/>
        <v>Ln14</v>
      </c>
      <c r="R14" s="391"/>
      <c r="S14" s="400" t="s">
        <v>24</v>
      </c>
      <c r="T14" s="391"/>
      <c r="U14" s="391"/>
      <c r="V14" s="392"/>
      <c r="W14" s="393" t="s">
        <v>177</v>
      </c>
      <c r="X14" s="237"/>
      <c r="Y14" s="305" t="s">
        <v>156</v>
      </c>
      <c r="Z14" s="192"/>
      <c r="AC14" s="816"/>
      <c r="AD14" s="237"/>
      <c r="AH14" s="816"/>
      <c r="AI14" s="237"/>
      <c r="AJ14" s="237"/>
    </row>
    <row r="15" spans="2:36" ht="15" customHeight="1" thickTop="1" thickBot="1" x14ac:dyDescent="0.3">
      <c r="B15" s="32" t="s">
        <v>88</v>
      </c>
      <c r="C15" s="4"/>
      <c r="D15" s="793"/>
      <c r="E15" s="793"/>
      <c r="F15" s="5" t="s">
        <v>36</v>
      </c>
      <c r="H15" s="1"/>
      <c r="I15" s="16" t="s">
        <v>15</v>
      </c>
      <c r="J15" s="585">
        <f>V21</f>
        <v>-7</v>
      </c>
      <c r="K15" s="69">
        <f>U18</f>
        <v>48</v>
      </c>
      <c r="L15" s="72">
        <f>ROUND((J15*K15)/1000,5)</f>
        <v>-0.33600000000000002</v>
      </c>
      <c r="M15" s="11" t="s">
        <v>16</v>
      </c>
      <c r="P15" s="251"/>
      <c r="Q15" s="239" t="str">
        <f t="shared" si="0"/>
        <v>Ln15</v>
      </c>
      <c r="R15" s="391"/>
      <c r="S15" s="400" t="s">
        <v>193</v>
      </c>
      <c r="T15" s="391"/>
      <c r="U15" s="391"/>
      <c r="V15" s="392"/>
      <c r="W15" s="393" t="s">
        <v>177</v>
      </c>
      <c r="X15" s="237"/>
      <c r="Y15" s="305" t="s">
        <v>47</v>
      </c>
      <c r="Z15" s="312">
        <v>1500</v>
      </c>
      <c r="AC15" s="817"/>
      <c r="AD15" s="237"/>
      <c r="AH15" s="817"/>
      <c r="AI15" s="237"/>
      <c r="AJ15" s="237"/>
    </row>
    <row r="16" spans="2:36" ht="15" customHeight="1" thickTop="1" thickBot="1" x14ac:dyDescent="0.25">
      <c r="B16" s="32" t="s">
        <v>35</v>
      </c>
      <c r="C16" s="2"/>
      <c r="D16" s="794"/>
      <c r="E16" s="795"/>
      <c r="F16" s="5" t="s">
        <v>108</v>
      </c>
      <c r="H16" s="1"/>
      <c r="I16" s="17" t="s">
        <v>7</v>
      </c>
      <c r="J16" s="126">
        <f ca="1">IF(expired=TRUE,9999,SUM(J14:J15))</f>
        <v>1578</v>
      </c>
      <c r="K16" s="73" t="s">
        <v>5</v>
      </c>
      <c r="L16" s="74">
        <f>SUM(L14:L15)</f>
        <v>59.65625</v>
      </c>
      <c r="M16" s="110" t="str">
        <f>"Max Gross: "&amp;TEXT(U8,"#,##0")&amp;"   Useful Load: "&amp;TEXT(U37,"#,##0")</f>
        <v>Max Gross: 2,550   Useful Load: 965</v>
      </c>
      <c r="P16" s="251"/>
      <c r="Q16" s="240"/>
      <c r="R16" s="240"/>
      <c r="S16" s="240"/>
      <c r="T16" s="240"/>
      <c r="U16" s="240"/>
      <c r="V16" s="240"/>
      <c r="W16" s="240"/>
      <c r="X16" s="237"/>
      <c r="Y16" s="195"/>
      <c r="Z16" s="192"/>
      <c r="AC16" s="191">
        <f>AC8</f>
        <v>2550</v>
      </c>
      <c r="AD16" s="237"/>
      <c r="AE16" s="313">
        <v>35</v>
      </c>
      <c r="AF16" s="7"/>
      <c r="AG16" s="7"/>
      <c r="AH16" s="199">
        <f>AH8</f>
        <v>47.3</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37.804974651457542</v>
      </c>
      <c r="L17" s="75" t="s">
        <v>5</v>
      </c>
      <c r="M17" s="12" t="s">
        <v>9</v>
      </c>
      <c r="P17" s="251"/>
      <c r="Q17" s="333" t="s">
        <v>158</v>
      </c>
      <c r="R17" s="247"/>
      <c r="S17" s="247"/>
      <c r="T17" s="338" t="s">
        <v>174</v>
      </c>
      <c r="U17" s="190" t="s">
        <v>2</v>
      </c>
      <c r="V17" s="190" t="s">
        <v>118</v>
      </c>
      <c r="W17" s="336" t="s">
        <v>179</v>
      </c>
      <c r="X17" s="237"/>
      <c r="Y17" s="197"/>
      <c r="Z17" s="198"/>
      <c r="AD17" s="237"/>
      <c r="AE17" s="200"/>
      <c r="AF17" s="818" t="s">
        <v>161</v>
      </c>
      <c r="AG17" s="818"/>
      <c r="AH17" s="201"/>
      <c r="AI17" s="237"/>
      <c r="AJ17" s="237"/>
    </row>
    <row r="18" spans="2:36" ht="15" customHeight="1" thickTop="1" thickBot="1" x14ac:dyDescent="0.25">
      <c r="B18" s="32" t="s">
        <v>139</v>
      </c>
      <c r="D18" s="798">
        <f>D16*D17</f>
        <v>0</v>
      </c>
      <c r="E18" s="799"/>
      <c r="F18" s="5" t="s">
        <v>36</v>
      </c>
      <c r="H18" s="1"/>
      <c r="I18" s="23" t="s">
        <v>23</v>
      </c>
      <c r="J18" s="25">
        <f>D18*6*-1</f>
        <v>0</v>
      </c>
      <c r="K18" s="25">
        <f>K8</f>
        <v>48</v>
      </c>
      <c r="L18" s="92">
        <f>ROUND((J18*K18)/1000,5)</f>
        <v>0</v>
      </c>
      <c r="M18" s="29" t="s">
        <v>73</v>
      </c>
      <c r="P18" s="251"/>
      <c r="Q18" s="239" t="str">
        <f t="shared" si="0"/>
        <v>Ln18</v>
      </c>
      <c r="R18" s="257" t="str">
        <f>IF(D15&gt;T18,"ERR","OK")</f>
        <v>OK</v>
      </c>
      <c r="S18" s="548" t="s">
        <v>239</v>
      </c>
      <c r="T18" s="339">
        <v>50</v>
      </c>
      <c r="U18" s="309">
        <v>48</v>
      </c>
      <c r="V18" s="342">
        <f>T18*6</f>
        <v>300</v>
      </c>
      <c r="W18" s="300" t="s">
        <v>176</v>
      </c>
      <c r="X18" s="237"/>
      <c r="Y18" s="237"/>
      <c r="Z18" s="237"/>
      <c r="AA18" s="237"/>
      <c r="AB18" s="237"/>
      <c r="AC18" s="237"/>
      <c r="AD18" s="237"/>
      <c r="AE18" s="237"/>
      <c r="AF18" s="237"/>
      <c r="AG18" s="237"/>
      <c r="AH18" s="23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95">
        <f ca="1">SUM(J16:J18)</f>
        <v>1578</v>
      </c>
      <c r="K19" s="93"/>
      <c r="L19" s="24">
        <f>SUM(L16:L18)</f>
        <v>59.65625</v>
      </c>
      <c r="M19" s="29" t="str">
        <f>IF(U8=U10,"Landing Weight Limit same as Takeoff Weight","Max Landing Weight  "&amp;TEXT(U10,"#,##0"))</f>
        <v>Landing Weight Limit same as Takeoff Weight</v>
      </c>
      <c r="P19" s="251"/>
      <c r="Q19" s="239" t="str">
        <f t="shared" si="0"/>
        <v>Ln19</v>
      </c>
      <c r="R19" s="258"/>
      <c r="S19" s="549" t="s">
        <v>240</v>
      </c>
      <c r="T19" s="339">
        <v>50</v>
      </c>
      <c r="U19" s="343"/>
      <c r="V19" s="342">
        <f>T19*6</f>
        <v>300</v>
      </c>
      <c r="W19" s="237"/>
      <c r="X19" s="237"/>
      <c r="Y19" s="237"/>
      <c r="Z19" s="237"/>
      <c r="AA19" s="291" t="str">
        <f ca="1">IF(AA20&gt;U8,"OUT","OK")</f>
        <v>OK</v>
      </c>
      <c r="AB19" s="250" t="s">
        <v>164</v>
      </c>
      <c r="AC19" s="237"/>
      <c r="AD19" s="237"/>
      <c r="AE19" s="291" t="str">
        <f ca="1">IF(AA19="out","out",IF(AND(AE20&gt;=AG20,AE20&lt;=AH20),"OK","OUT"))</f>
        <v>OK</v>
      </c>
      <c r="AF19" s="237"/>
      <c r="AG19" s="237"/>
      <c r="AH19" s="237"/>
      <c r="AI19" s="237"/>
      <c r="AJ19" s="237"/>
    </row>
    <row r="20" spans="2:36" ht="15" customHeight="1" thickTop="1" thickBot="1" x14ac:dyDescent="0.25">
      <c r="B20" s="135" t="s">
        <v>132</v>
      </c>
      <c r="I20" s="28" t="s">
        <v>8</v>
      </c>
      <c r="J20" s="94"/>
      <c r="K20" s="96">
        <f ca="1">(L19*1000)/J19</f>
        <v>37.804974651457542</v>
      </c>
      <c r="L20" s="76"/>
      <c r="M20" s="30" t="s">
        <v>65</v>
      </c>
      <c r="P20" s="251"/>
      <c r="Q20" s="375" t="str">
        <f t="shared" si="0"/>
        <v>Ln20</v>
      </c>
      <c r="R20" s="83" t="str">
        <f>IF(AND(T18=T19,LEFT(T20,1)="F"),"OK",IF(AND(T18&lt;&gt;T19,LEFT(T20,1)&lt;&gt;"F"),"OK","ERR"))</f>
        <v>OK</v>
      </c>
      <c r="S20" s="547" t="s">
        <v>188</v>
      </c>
      <c r="T20" s="546" t="s">
        <v>189</v>
      </c>
      <c r="U20" s="397" t="s">
        <v>190</v>
      </c>
      <c r="V20" s="412"/>
      <c r="W20" s="392"/>
      <c r="X20" s="237"/>
      <c r="Y20" s="270" t="s">
        <v>47</v>
      </c>
      <c r="Z20" s="288" t="s">
        <v>1</v>
      </c>
      <c r="AA20" s="316">
        <f ca="1">J16</f>
        <v>1578</v>
      </c>
      <c r="AB20" s="236"/>
      <c r="AC20" s="292"/>
      <c r="AD20" s="234" t="s">
        <v>40</v>
      </c>
      <c r="AE20" s="317">
        <f ca="1">K17</f>
        <v>37.804974651457542</v>
      </c>
      <c r="AF20" s="287" t="s">
        <v>61</v>
      </c>
      <c r="AG20" s="318">
        <f ca="1">VLOOKUP(AA20,Z23:AH26,8,TRUE)</f>
        <v>35</v>
      </c>
      <c r="AH20" s="319">
        <f ca="1">VLOOKUP(AA20,Z23:AH26,9,TRUE)</f>
        <v>47.3</v>
      </c>
      <c r="AI20" s="237"/>
      <c r="AJ20" s="237"/>
    </row>
    <row r="21" spans="2:36" ht="13.5" thickTop="1" x14ac:dyDescent="0.2">
      <c r="B21" s="770" t="str">
        <f>IF(R10&lt;&gt;"OK","Caution - Landing Weight",IF(R11&lt;&gt;"OK","Watch Early Landing Weight",""))</f>
        <v/>
      </c>
      <c r="C21" s="772" t="str">
        <f ca="1">IF(OR(AA19="out",AE19="out"),"CAUTION:   Wt or CG Out of Limits","")</f>
        <v/>
      </c>
      <c r="D21" s="772"/>
      <c r="E21" s="772"/>
      <c r="F21" s="773"/>
      <c r="P21" s="251"/>
      <c r="Q21" s="239" t="str">
        <f t="shared" si="0"/>
        <v>Ln21</v>
      </c>
      <c r="R21" s="258"/>
      <c r="S21" s="548" t="s">
        <v>191</v>
      </c>
      <c r="T21" s="339">
        <v>1.1000000000000001</v>
      </c>
      <c r="U21" s="343"/>
      <c r="V21" s="582">
        <f>ROUND(T21*6,0)*-1</f>
        <v>-7</v>
      </c>
      <c r="W21" s="237"/>
      <c r="X21" s="237"/>
      <c r="Y21" s="271" t="s">
        <v>48</v>
      </c>
      <c r="Z21" s="273"/>
      <c r="AA21" s="274" t="s">
        <v>67</v>
      </c>
      <c r="AB21" s="275"/>
      <c r="AC21" s="293"/>
      <c r="AD21" s="273"/>
      <c r="AE21" s="276" t="s">
        <v>66</v>
      </c>
      <c r="AF21" s="273"/>
      <c r="AG21" s="277" t="s">
        <v>46</v>
      </c>
      <c r="AH21" s="278" t="s">
        <v>46</v>
      </c>
      <c r="AI21" s="237"/>
      <c r="AJ21" s="237"/>
    </row>
    <row r="22" spans="2:36" ht="13.5" thickBot="1" x14ac:dyDescent="0.25">
      <c r="B22" s="771"/>
      <c r="C22" s="774"/>
      <c r="D22" s="774"/>
      <c r="E22" s="774"/>
      <c r="F22" s="775"/>
      <c r="P22" s="238"/>
      <c r="Q22" s="237"/>
      <c r="R22" s="258"/>
      <c r="S22" s="550" t="s">
        <v>15</v>
      </c>
      <c r="T22" s="258"/>
      <c r="U22" s="252"/>
      <c r="V22" s="258"/>
      <c r="W22" s="300" t="s">
        <v>177</v>
      </c>
      <c r="X22" s="237"/>
      <c r="Y22" s="271" t="s">
        <v>49</v>
      </c>
      <c r="Z22" s="279" t="s">
        <v>41</v>
      </c>
      <c r="AA22" s="279" t="s">
        <v>42</v>
      </c>
      <c r="AB22" s="280" t="s">
        <v>43</v>
      </c>
      <c r="AC22" s="281" t="s">
        <v>41</v>
      </c>
      <c r="AD22" s="282" t="s">
        <v>42</v>
      </c>
      <c r="AE22" s="283" t="s">
        <v>44</v>
      </c>
      <c r="AF22" s="284" t="s">
        <v>45</v>
      </c>
      <c r="AG22" s="285" t="s">
        <v>68</v>
      </c>
      <c r="AH22" s="286" t="s">
        <v>69</v>
      </c>
      <c r="AI22" s="237"/>
      <c r="AJ22" s="237"/>
    </row>
    <row r="23" spans="2:36" ht="13.5" thickTop="1" x14ac:dyDescent="0.2">
      <c r="B23" s="34" t="str">
        <f>IF(AND(R52&lt;&gt;"OK",R48&lt;&gt;"OK"),"Enter Fuel on Board","")</f>
        <v/>
      </c>
      <c r="C23" s="776" t="str">
        <f>IF(R53&lt;&gt;"OK","Fuel &lt;1-HR Reserve","")</f>
        <v/>
      </c>
      <c r="D23" s="776"/>
      <c r="E23" s="776"/>
      <c r="F23" s="777"/>
      <c r="I23" s="10" t="s">
        <v>64</v>
      </c>
      <c r="P23" s="238"/>
      <c r="Q23" s="240"/>
      <c r="R23" s="258"/>
      <c r="S23" s="550" t="s">
        <v>23</v>
      </c>
      <c r="T23" s="258"/>
      <c r="U23" s="252"/>
      <c r="V23" s="258"/>
      <c r="W23" s="300" t="s">
        <v>177</v>
      </c>
      <c r="X23" s="237"/>
      <c r="Y23" s="271" t="s">
        <v>50</v>
      </c>
      <c r="Z23" s="218">
        <f>Z15</f>
        <v>1500</v>
      </c>
      <c r="AA23" s="219">
        <f>Z12</f>
        <v>1948</v>
      </c>
      <c r="AB23" s="204">
        <f>+AA23-Z23</f>
        <v>448</v>
      </c>
      <c r="AC23" s="222">
        <f>AE16</f>
        <v>35</v>
      </c>
      <c r="AD23" s="223">
        <f>AE12</f>
        <v>35</v>
      </c>
      <c r="AE23" s="209">
        <f>AD23-AC23</f>
        <v>0</v>
      </c>
      <c r="AF23" s="210">
        <f>IF(OR(AB23=0,AE23=0),0,ROUND(AE23/AB23,5))</f>
        <v>0</v>
      </c>
      <c r="AG23" s="211">
        <f ca="1">IF(AND(AA20&gt;=Z23,AA20&lt;AA23),AC23+((AA20-Z23)*AF23),AC23)</f>
        <v>35</v>
      </c>
      <c r="AH23" s="212">
        <f>AD26</f>
        <v>47.3</v>
      </c>
      <c r="AI23" s="237"/>
      <c r="AJ23" s="237"/>
    </row>
    <row r="24" spans="2:36" ht="12.75" customHeight="1" x14ac:dyDescent="0.2">
      <c r="B24" s="77" t="str">
        <f>IF(AND(R52&lt;&gt;"OK",R49&lt;&gt;"OK"),"Enter GPH Usage","")</f>
        <v/>
      </c>
      <c r="C24" s="778" t="str">
        <f>IF(OR(R18&lt;&gt;"OK",R51&lt;&gt;"OK"),"Fueling Error","")</f>
        <v/>
      </c>
      <c r="D24" s="778"/>
      <c r="E24" s="778"/>
      <c r="F24" s="779"/>
      <c r="I24" s="9" t="s">
        <v>62</v>
      </c>
      <c r="P24" s="238"/>
      <c r="Q24" s="240"/>
      <c r="R24" s="240"/>
      <c r="S24" s="240"/>
      <c r="T24" s="240"/>
      <c r="U24" s="240"/>
      <c r="V24" s="240"/>
      <c r="W24" s="240"/>
      <c r="X24" s="237"/>
      <c r="Y24" s="271" t="s">
        <v>51</v>
      </c>
      <c r="Z24" s="202">
        <f>AA23</f>
        <v>1948</v>
      </c>
      <c r="AA24" s="220">
        <f>AA8</f>
        <v>2550</v>
      </c>
      <c r="AB24" s="205">
        <f>+AA24-Z24</f>
        <v>602</v>
      </c>
      <c r="AC24" s="207">
        <f>IF(AD24=AD23,AC23,AD23)</f>
        <v>35</v>
      </c>
      <c r="AD24" s="224">
        <f>AF8</f>
        <v>41</v>
      </c>
      <c r="AE24" s="209">
        <f>AD24-AC24</f>
        <v>6</v>
      </c>
      <c r="AF24" s="210">
        <f>IF(OR(AB24=0,AE24=0),0,ROUND(AE24/AB24,5))</f>
        <v>9.9699999999999997E-3</v>
      </c>
      <c r="AG24" s="211">
        <f ca="1">IF(AND(AA20&gt;=Z24,AA20&lt;AA24),AC24+((AA20-Z24)*AF24),AC24)</f>
        <v>35</v>
      </c>
      <c r="AH24" s="213">
        <f>AH23</f>
        <v>47.3</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238"/>
      <c r="Q25" s="333" t="s">
        <v>159</v>
      </c>
      <c r="R25" s="247"/>
      <c r="S25" s="247"/>
      <c r="T25" s="247"/>
      <c r="U25" s="190" t="s">
        <v>2</v>
      </c>
      <c r="V25" s="190" t="s">
        <v>1</v>
      </c>
      <c r="W25" s="336" t="s">
        <v>179</v>
      </c>
      <c r="X25" s="237"/>
      <c r="Y25" s="271" t="s">
        <v>52</v>
      </c>
      <c r="Z25" s="202">
        <f>AA24</f>
        <v>2550</v>
      </c>
      <c r="AA25" s="220">
        <f>AC8</f>
        <v>2550</v>
      </c>
      <c r="AB25" s="205">
        <f>+AA25-Z25</f>
        <v>0</v>
      </c>
      <c r="AC25" s="207">
        <f>IF(AD25=AD24,AC24,AD24)</f>
        <v>41</v>
      </c>
      <c r="AD25" s="224">
        <f>AH8</f>
        <v>47.3</v>
      </c>
      <c r="AE25" s="209">
        <f>AD25-AC25</f>
        <v>6.2999999999999972</v>
      </c>
      <c r="AF25" s="210">
        <f>IF(OR(AB25=0,AE25=0),0,ROUND(AE25/AB25,5))</f>
        <v>0</v>
      </c>
      <c r="AG25" s="211">
        <f ca="1">IF(AND(AA20&gt;=Z25,AA20&lt;AA25),AC25+((AA20-Z25)*AF25),AC25)</f>
        <v>41</v>
      </c>
      <c r="AH25" s="213">
        <f>AH24</f>
        <v>47.3</v>
      </c>
      <c r="AI25" s="237"/>
      <c r="AJ25" s="237"/>
    </row>
    <row r="26" spans="2:36" ht="13.5" thickTop="1" x14ac:dyDescent="0.2">
      <c r="I26" s="8" t="str">
        <f>"R Front:  "&amp;IF(E7=0,"---",E7&amp;"#")</f>
        <v>R Front:  ---</v>
      </c>
      <c r="P26" s="238"/>
      <c r="Q26" s="239" t="str">
        <f t="shared" si="0"/>
        <v>Ln26</v>
      </c>
      <c r="R26" s="258"/>
      <c r="S26" s="86" t="s">
        <v>11</v>
      </c>
      <c r="T26" s="261"/>
      <c r="U26" s="309">
        <v>37</v>
      </c>
      <c r="V26" s="342">
        <f>C7+E7</f>
        <v>0</v>
      </c>
      <c r="W26" s="334"/>
      <c r="X26" s="237"/>
      <c r="Y26" s="272" t="s">
        <v>52</v>
      </c>
      <c r="Z26" s="203">
        <f>AA25</f>
        <v>2550</v>
      </c>
      <c r="AA26" s="221">
        <f>AC16</f>
        <v>2550</v>
      </c>
      <c r="AB26" s="206">
        <f>+AA26-Z26</f>
        <v>0</v>
      </c>
      <c r="AC26" s="208">
        <f>IF(AD26=AD25,AC25,AD25)</f>
        <v>41</v>
      </c>
      <c r="AD26" s="225">
        <f>AH16</f>
        <v>47.3</v>
      </c>
      <c r="AE26" s="214">
        <f>AD26-AC26</f>
        <v>6.2999999999999972</v>
      </c>
      <c r="AF26" s="215">
        <f>IF(OR(AB26=0,AE26=0),0,ROUND(AE26/AB26,5))</f>
        <v>0</v>
      </c>
      <c r="AG26" s="216">
        <f ca="1">IF(AND(AA20&gt;=Z26,AA20&lt;AA26),AC26+((AA20-Z26)*AF26),AC26)</f>
        <v>41</v>
      </c>
      <c r="AH26" s="217">
        <f>AH25</f>
        <v>47.3</v>
      </c>
      <c r="AI26" s="237"/>
      <c r="AJ26" s="237"/>
    </row>
    <row r="27" spans="2:36" ht="12.75" customHeight="1" x14ac:dyDescent="0.2">
      <c r="B27" s="60" t="s">
        <v>79</v>
      </c>
      <c r="H27" s="1"/>
      <c r="I27" s="8" t="str">
        <f>"L  Rear:  "&amp;IF(C9=0,"---",C9&amp;"#")</f>
        <v>L  Rear:  ---</v>
      </c>
      <c r="P27" s="238"/>
      <c r="Q27" s="239" t="str">
        <f t="shared" si="0"/>
        <v>Ln27</v>
      </c>
      <c r="R27" s="258"/>
      <c r="S27" s="86" t="s">
        <v>12</v>
      </c>
      <c r="T27" s="261"/>
      <c r="U27" s="309">
        <v>73</v>
      </c>
      <c r="V27" s="342">
        <f>C9+E9</f>
        <v>0</v>
      </c>
      <c r="W27" s="334"/>
      <c r="X27" s="237"/>
      <c r="Y27" s="237"/>
      <c r="Z27" s="237"/>
      <c r="AA27" s="237"/>
      <c r="AB27" s="237"/>
      <c r="AC27" s="237"/>
      <c r="AD27" s="237"/>
      <c r="AE27" s="237"/>
      <c r="AF27" s="237"/>
      <c r="AG27" s="237"/>
      <c r="AH27" s="237"/>
      <c r="AI27" s="237"/>
      <c r="AJ27" s="237"/>
    </row>
    <row r="28" spans="2:36" ht="13.5" thickBot="1" x14ac:dyDescent="0.25">
      <c r="B28" s="22" t="s">
        <v>127</v>
      </c>
      <c r="D28" s="782">
        <f>U37+(J15*-1)</f>
        <v>972</v>
      </c>
      <c r="E28" s="783"/>
      <c r="F28" s="784" t="str">
        <f>"( "&amp;TEXT(U37,"#,##0")&amp;"+"&amp;J15*-1&amp;" )"</f>
        <v>( 965+7 )</v>
      </c>
      <c r="G28" s="785"/>
      <c r="H28" s="785"/>
      <c r="I28" s="8" t="str">
        <f>"R  Rear:  "&amp;IF(E9=0,"---",E9&amp;"#")</f>
        <v>R  Rear:  ---</v>
      </c>
      <c r="P28" s="238"/>
      <c r="Q28" s="237"/>
      <c r="R28" s="237"/>
      <c r="S28" s="237"/>
      <c r="T28" s="237"/>
      <c r="U28" s="343"/>
      <c r="V28" s="343"/>
      <c r="W28" s="237"/>
      <c r="X28" s="237"/>
      <c r="Y28" s="237"/>
      <c r="Z28" s="237"/>
      <c r="AA28" s="237"/>
      <c r="AB28" s="237"/>
      <c r="AC28" s="237"/>
      <c r="AD28" s="237"/>
      <c r="AE28" s="237"/>
      <c r="AF28" s="237"/>
      <c r="AG28" s="237"/>
      <c r="AH28" s="237"/>
      <c r="AI28" s="237"/>
      <c r="AJ28" s="237"/>
    </row>
    <row r="29" spans="2:36" ht="13.5" thickBot="1" x14ac:dyDescent="0.25">
      <c r="B29" s="22" t="s">
        <v>126</v>
      </c>
      <c r="D29" s="786">
        <f>SUM(J8:J13)</f>
        <v>0</v>
      </c>
      <c r="E29" s="787"/>
      <c r="I29" s="8" t="str">
        <f>"Bag 1:  "&amp;IF(C11=0,"---",C11&amp;"#")</f>
        <v>Bag 1:  ---</v>
      </c>
      <c r="P29" s="238"/>
      <c r="Q29" s="239" t="str">
        <f t="shared" si="0"/>
        <v>Ln29</v>
      </c>
      <c r="R29" s="83" t="str">
        <f>IF(C11&gt;V29,"ERR","OK")</f>
        <v>OK</v>
      </c>
      <c r="S29" s="86" t="s">
        <v>25</v>
      </c>
      <c r="T29" s="261"/>
      <c r="U29" s="309">
        <v>95</v>
      </c>
      <c r="V29" s="344">
        <v>120</v>
      </c>
      <c r="W29" s="300" t="s">
        <v>176</v>
      </c>
      <c r="X29" s="237"/>
      <c r="Y29" s="237"/>
      <c r="Z29" s="237"/>
      <c r="AA29" s="237"/>
      <c r="AB29" s="237"/>
      <c r="AC29" s="237"/>
      <c r="AD29" s="237"/>
      <c r="AE29" s="237"/>
      <c r="AF29" s="237"/>
      <c r="AG29" s="237"/>
      <c r="AH29" s="237"/>
      <c r="AI29" s="237"/>
      <c r="AJ29" s="237"/>
    </row>
    <row r="30" spans="2:36" ht="15.75" x14ac:dyDescent="0.3">
      <c r="B30" s="22" t="str">
        <f>IF(D29&lt;=D28,"Lbs before overweight","OVERWEIGHT")</f>
        <v>Lbs before overweight</v>
      </c>
      <c r="D30" s="788">
        <f>ABS(D28-D29)</f>
        <v>972</v>
      </c>
      <c r="E30" s="789"/>
      <c r="F30" s="790" t="str">
        <f>IF(D29&gt;D28,"# Over","")</f>
        <v/>
      </c>
      <c r="G30" s="791"/>
      <c r="H30" s="791"/>
      <c r="I30" s="8" t="str">
        <f>"Bag 2:  "&amp;IF(C12=0,"---",C12&amp;"#")</f>
        <v>Bag 2:  ---</v>
      </c>
      <c r="P30" s="238"/>
      <c r="Q30" s="239" t="str">
        <f t="shared" si="0"/>
        <v>Ln30</v>
      </c>
      <c r="R30" s="83" t="str">
        <f>IF(C12&gt;V30,"ERR","OK")</f>
        <v>OK</v>
      </c>
      <c r="S30" s="86" t="s">
        <v>26</v>
      </c>
      <c r="T30" s="85"/>
      <c r="U30" s="309">
        <v>123</v>
      </c>
      <c r="V30" s="344">
        <v>50</v>
      </c>
      <c r="W30" s="300" t="s">
        <v>176</v>
      </c>
      <c r="X30" s="237"/>
      <c r="Y30" s="237"/>
      <c r="Z30" s="245"/>
      <c r="AA30" s="246"/>
      <c r="AB30" s="295" t="s">
        <v>165</v>
      </c>
      <c r="AC30" s="247"/>
      <c r="AD30" s="247"/>
      <c r="AE30" s="247"/>
      <c r="AF30" s="247"/>
      <c r="AG30" s="247"/>
      <c r="AH30" s="237"/>
      <c r="AI30" s="237"/>
      <c r="AJ30" s="237"/>
    </row>
    <row r="31" spans="2:36" ht="15.75" thickBot="1" x14ac:dyDescent="0.3">
      <c r="P31" s="238"/>
      <c r="Q31" s="239" t="str">
        <f t="shared" si="0"/>
        <v>Ln31</v>
      </c>
      <c r="R31" s="83" t="str">
        <f>IF(C11+C12&gt;V31,"ERR","OK")</f>
        <v>OK</v>
      </c>
      <c r="S31" s="87" t="s">
        <v>30</v>
      </c>
      <c r="T31" s="85"/>
      <c r="U31" s="345"/>
      <c r="V31" s="344">
        <v>120</v>
      </c>
      <c r="W31" s="237"/>
      <c r="X31" s="237"/>
      <c r="Y31" s="237"/>
      <c r="Z31" s="237"/>
      <c r="AA31" s="237"/>
      <c r="AB31" s="237"/>
      <c r="AC31" s="243" t="s">
        <v>162</v>
      </c>
      <c r="AD31" s="237"/>
      <c r="AE31" s="237"/>
      <c r="AF31" s="237"/>
      <c r="AG31" s="246"/>
      <c r="AH31" s="237"/>
      <c r="AI31" s="237"/>
      <c r="AJ31" s="237"/>
    </row>
    <row r="32" spans="2:36" ht="13.5" thickTop="1" x14ac:dyDescent="0.2">
      <c r="I32" s="8"/>
      <c r="P32" s="238"/>
      <c r="Q32" s="239" t="str">
        <f t="shared" si="0"/>
        <v>Ln32</v>
      </c>
      <c r="R32" s="258"/>
      <c r="S32" s="337" t="s">
        <v>152</v>
      </c>
      <c r="T32" s="258"/>
      <c r="U32" s="345"/>
      <c r="V32" s="345"/>
      <c r="W32" s="237"/>
      <c r="X32" s="237"/>
      <c r="Y32" s="226"/>
      <c r="Z32" s="227"/>
      <c r="AA32" s="323">
        <v>2550</v>
      </c>
      <c r="AC32" s="191">
        <f>AA32</f>
        <v>2550</v>
      </c>
      <c r="AD32" s="237"/>
      <c r="AF32" s="325">
        <v>41</v>
      </c>
      <c r="AH32" s="315">
        <v>47.3</v>
      </c>
      <c r="AI32" s="237"/>
      <c r="AJ32" s="237"/>
    </row>
    <row r="33" spans="8:36" x14ac:dyDescent="0.2">
      <c r="I33" s="9" t="s">
        <v>63</v>
      </c>
      <c r="P33" s="238"/>
      <c r="Q33" s="239" t="str">
        <f t="shared" si="0"/>
        <v>Ln33</v>
      </c>
      <c r="R33" s="258"/>
      <c r="S33" s="337" t="s">
        <v>152</v>
      </c>
      <c r="T33" s="258"/>
      <c r="U33" s="345"/>
      <c r="V33" s="345"/>
      <c r="W33" s="237"/>
      <c r="X33" s="237"/>
      <c r="Y33" s="228"/>
      <c r="Z33" s="7"/>
      <c r="AD33" s="237"/>
      <c r="AI33" s="237"/>
      <c r="AJ33" s="237"/>
    </row>
    <row r="34" spans="8:36" ht="13.5" x14ac:dyDescent="0.25">
      <c r="I34" s="10" t="str">
        <f>"Start:  "&amp;TEXT(D15,("###.0"))&amp;" USG"</f>
        <v>Start:  .0 USG</v>
      </c>
      <c r="P34" s="238"/>
      <c r="Q34" s="239" t="str">
        <f t="shared" si="0"/>
        <v>Ln34</v>
      </c>
      <c r="R34" s="258"/>
      <c r="S34" s="337" t="s">
        <v>152</v>
      </c>
      <c r="T34" s="258"/>
      <c r="U34" s="345"/>
      <c r="V34" s="345"/>
      <c r="W34" s="237"/>
      <c r="X34" s="237"/>
      <c r="Y34" s="306" t="s">
        <v>155</v>
      </c>
      <c r="Z34" s="7"/>
      <c r="AD34" s="237"/>
      <c r="AI34" s="237"/>
      <c r="AJ34" s="237"/>
    </row>
    <row r="35" spans="8:36" ht="13.5" x14ac:dyDescent="0.25">
      <c r="I35" s="10" t="str">
        <f>"Used:    "&amp;TEXT(D18,("###.0"))&amp;" USG"</f>
        <v>Used:    .0 USG</v>
      </c>
      <c r="P35" s="238"/>
      <c r="Q35" s="237"/>
      <c r="R35" s="237"/>
      <c r="S35" s="237"/>
      <c r="T35" s="237"/>
      <c r="U35" s="237"/>
      <c r="V35" s="237"/>
      <c r="W35" s="237"/>
      <c r="X35" s="237"/>
      <c r="Y35" s="306" t="s">
        <v>50</v>
      </c>
      <c r="Z35" s="7"/>
      <c r="AA35" s="815" t="s">
        <v>1</v>
      </c>
      <c r="AB35" s="815"/>
      <c r="AD35" s="237"/>
      <c r="AE35" s="627">
        <f>AE40</f>
        <v>35</v>
      </c>
      <c r="AF35" s="815" t="s">
        <v>154</v>
      </c>
      <c r="AG35" s="815"/>
      <c r="AI35" s="237"/>
      <c r="AJ35" s="237"/>
    </row>
    <row r="36" spans="8:36" ht="13.5" x14ac:dyDescent="0.25">
      <c r="I36" s="10" t="str">
        <f>"Reserve:  "&amp;TEXT(D15-D18,"###.0")&amp;" USG"</f>
        <v>Reserve:  .0 USG</v>
      </c>
      <c r="P36" s="238"/>
      <c r="Q36" s="333" t="s">
        <v>160</v>
      </c>
      <c r="R36" s="247"/>
      <c r="S36" s="247"/>
      <c r="T36" s="247"/>
      <c r="U36" s="248" t="s">
        <v>1</v>
      </c>
      <c r="V36" s="237"/>
      <c r="W36" s="237"/>
      <c r="X36" s="237"/>
      <c r="Y36" s="306" t="s">
        <v>56</v>
      </c>
      <c r="Z36" s="323">
        <v>1948</v>
      </c>
      <c r="AA36" s="815" t="s">
        <v>153</v>
      </c>
      <c r="AB36" s="815"/>
      <c r="AD36" s="237"/>
      <c r="AF36" s="815" t="s">
        <v>153</v>
      </c>
      <c r="AG36" s="815"/>
      <c r="AI36" s="237"/>
      <c r="AJ36" s="237"/>
    </row>
    <row r="37" spans="8:36" ht="13.5" x14ac:dyDescent="0.25">
      <c r="P37" s="238"/>
      <c r="Q37" s="239" t="str">
        <f t="shared" ref="Q37:Q39" si="1">"Ln"&amp;ROW()</f>
        <v>Ln37</v>
      </c>
      <c r="R37" s="263"/>
      <c r="S37" s="264" t="s">
        <v>77</v>
      </c>
      <c r="T37" s="346"/>
      <c r="U37" s="347">
        <f>ROUNDDOWN(U8-U7,0)</f>
        <v>965</v>
      </c>
      <c r="V37" s="237"/>
      <c r="W37" s="237"/>
      <c r="X37" s="237"/>
      <c r="Y37" s="306" t="s">
        <v>57</v>
      </c>
      <c r="Z37" s="7"/>
      <c r="AC37" s="816" t="s">
        <v>157</v>
      </c>
      <c r="AD37" s="237"/>
      <c r="AH37" s="816" t="s">
        <v>157</v>
      </c>
      <c r="AI37" s="237"/>
      <c r="AJ37" s="237"/>
    </row>
    <row r="38" spans="8:36" ht="13.5" x14ac:dyDescent="0.25">
      <c r="I38" s="9" t="s">
        <v>72</v>
      </c>
      <c r="P38" s="238"/>
      <c r="Q38" s="239" t="str">
        <f t="shared" si="1"/>
        <v>Ln38</v>
      </c>
      <c r="R38" s="263"/>
      <c r="S38" s="264" t="s">
        <v>76</v>
      </c>
      <c r="T38" s="346"/>
      <c r="U38" s="347">
        <f>IF(T19=0,"",U37-V19)</f>
        <v>665</v>
      </c>
      <c r="V38" s="237"/>
      <c r="W38" s="237"/>
      <c r="X38" s="237"/>
      <c r="Y38" s="306" t="s">
        <v>156</v>
      </c>
      <c r="Z38" s="7"/>
      <c r="AC38" s="816"/>
      <c r="AD38" s="237"/>
      <c r="AH38" s="816"/>
      <c r="AI38" s="237"/>
      <c r="AJ38" s="237"/>
    </row>
    <row r="39" spans="8:36" ht="13.5" x14ac:dyDescent="0.25">
      <c r="H39" s="7"/>
      <c r="I39" s="63" t="str">
        <f>IF(T42="","","Max Flight (NO Res)")</f>
        <v/>
      </c>
      <c r="P39" s="238"/>
      <c r="Q39" s="239" t="str">
        <f t="shared" si="1"/>
        <v>Ln39</v>
      </c>
      <c r="R39" s="263"/>
      <c r="S39" s="264" t="s">
        <v>78</v>
      </c>
      <c r="T39" s="348"/>
      <c r="U39" s="347">
        <f>U37-V18</f>
        <v>665</v>
      </c>
      <c r="V39" s="237"/>
      <c r="W39" s="237"/>
      <c r="X39" s="237"/>
      <c r="Y39" s="306" t="s">
        <v>47</v>
      </c>
      <c r="Z39" s="7"/>
      <c r="AC39" s="819"/>
      <c r="AD39" s="237"/>
      <c r="AH39" s="819"/>
      <c r="AI39" s="237"/>
      <c r="AJ39" s="237"/>
    </row>
    <row r="40" spans="8:36" x14ac:dyDescent="0.2">
      <c r="H40" s="7"/>
      <c r="I40" s="21" t="str">
        <f>IF(T42="","","~"&amp;TEXT(T42,("##.0"))&amp;" hrs")</f>
        <v/>
      </c>
      <c r="P40" s="238"/>
      <c r="Q40" s="237"/>
      <c r="R40" s="237"/>
      <c r="S40" s="237"/>
      <c r="T40" s="343"/>
      <c r="U40" s="343"/>
      <c r="V40" s="237"/>
      <c r="W40" s="237"/>
      <c r="X40" s="237"/>
      <c r="Y40" s="228"/>
      <c r="Z40" s="323">
        <v>1500</v>
      </c>
      <c r="AC40" s="191">
        <f>AC32</f>
        <v>2550</v>
      </c>
      <c r="AD40" s="237"/>
      <c r="AE40" s="324">
        <v>35</v>
      </c>
      <c r="AF40" s="7"/>
      <c r="AG40" s="7"/>
      <c r="AH40" s="233">
        <f>AH32</f>
        <v>47.3</v>
      </c>
      <c r="AI40" s="242"/>
      <c r="AJ40" s="242"/>
    </row>
    <row r="41" spans="8:36" ht="14.25" thickBot="1" x14ac:dyDescent="0.3">
      <c r="I41" s="61" t="str">
        <f>IF(T42="","","@ "&amp;TEXT(D16,"##.0")&amp;" GPH")</f>
        <v/>
      </c>
      <c r="P41" s="238"/>
      <c r="Q41" s="333" t="s">
        <v>119</v>
      </c>
      <c r="R41" s="247"/>
      <c r="S41" s="248"/>
      <c r="T41" s="349" t="s">
        <v>121</v>
      </c>
      <c r="U41" s="343"/>
      <c r="V41" s="237"/>
      <c r="W41" s="237"/>
      <c r="X41" s="237"/>
      <c r="Y41" s="229"/>
      <c r="Z41" s="230"/>
      <c r="AD41" s="237"/>
      <c r="AE41" s="231"/>
      <c r="AF41" s="820" t="s">
        <v>161</v>
      </c>
      <c r="AG41" s="820"/>
      <c r="AH41" s="232"/>
      <c r="AI41" s="237"/>
      <c r="AJ41" s="237"/>
    </row>
    <row r="42" spans="8:36" ht="13.5" thickTop="1" x14ac:dyDescent="0.2">
      <c r="I42" s="65" t="str">
        <f>IF(R52&lt;&gt;"OK","","  At end of ")</f>
        <v/>
      </c>
      <c r="P42" s="238"/>
      <c r="Q42" s="239" t="str">
        <f t="shared" ref="Q42:Q43" si="2">"Ln"&amp;ROW()</f>
        <v>Ln42</v>
      </c>
      <c r="R42" s="265" t="s">
        <v>91</v>
      </c>
      <c r="S42" s="266"/>
      <c r="T42" s="350" t="str">
        <f>IF(AND(D15&gt;0,D18&gt;0),ROUND(D15/D16,3),"")</f>
        <v/>
      </c>
      <c r="U42" s="343"/>
      <c r="V42" s="237"/>
      <c r="W42" s="237"/>
      <c r="X42" s="237"/>
      <c r="Y42" s="237"/>
      <c r="Z42" s="237"/>
      <c r="AA42" s="237"/>
      <c r="AB42" s="237"/>
      <c r="AC42" s="237"/>
      <c r="AD42" s="237"/>
      <c r="AE42" s="237"/>
      <c r="AF42" s="237"/>
      <c r="AG42" s="237"/>
      <c r="AH42" s="237"/>
      <c r="AI42" s="237"/>
      <c r="AJ42" s="237"/>
    </row>
    <row r="43" spans="8:36" ht="13.5" thickBot="1" x14ac:dyDescent="0.25">
      <c r="I43" s="66" t="str">
        <f>IF(R52&lt;&gt;"OK","",TEXT(D17,"##.0")&amp;" Hr Trip . . ")</f>
        <v/>
      </c>
      <c r="P43" s="238"/>
      <c r="Q43" s="239" t="str">
        <f t="shared" si="2"/>
        <v>Ln43</v>
      </c>
      <c r="R43" s="265" t="s">
        <v>95</v>
      </c>
      <c r="S43" s="266"/>
      <c r="T43" s="350" t="str">
        <f>IF(AND(D15&gt;0,D16&gt;0,D18&gt;0),ROUND((D15-D18)/D16,3),"")</f>
        <v/>
      </c>
      <c r="U43" s="343"/>
      <c r="V43" s="237"/>
      <c r="W43" s="237"/>
      <c r="X43" s="237"/>
      <c r="Y43" s="237"/>
      <c r="Z43" s="237"/>
      <c r="AA43" s="290" t="str">
        <f>IF(U8=U10,"OK",IF(AA44&gt;U10,"OUT","OK"))</f>
        <v>OK</v>
      </c>
      <c r="AB43" s="250" t="s">
        <v>164</v>
      </c>
      <c r="AC43" s="237"/>
      <c r="AD43" s="237"/>
      <c r="AE43" s="290" t="str">
        <f>IF(U8=U10,"OK",IF(AND(AE44&gt;=AG44,AE44&lt;=AH44),"OK","OUT"))</f>
        <v>OK</v>
      </c>
      <c r="AF43" s="237"/>
      <c r="AG43" s="237"/>
      <c r="AH43" s="237"/>
      <c r="AI43" s="237"/>
      <c r="AJ43" s="237"/>
    </row>
    <row r="44" spans="8:36" ht="14.25" thickTop="1" thickBot="1" x14ac:dyDescent="0.25">
      <c r="I44" s="62" t="str">
        <f>IF(R52&lt;&gt;"OK","","Reserve is ~ "&amp;TEXT(T43,"##.0")&amp;" Hrs")</f>
        <v/>
      </c>
      <c r="P44" s="238"/>
      <c r="Q44" s="237"/>
      <c r="R44" s="237"/>
      <c r="S44" s="237"/>
      <c r="T44" s="237"/>
      <c r="U44" s="237"/>
      <c r="V44" s="237"/>
      <c r="W44" s="237"/>
      <c r="X44" s="237"/>
      <c r="Y44" s="270" t="s">
        <v>53</v>
      </c>
      <c r="Z44" s="288" t="s">
        <v>1</v>
      </c>
      <c r="AA44" s="320">
        <f ca="1">J19</f>
        <v>1578</v>
      </c>
      <c r="AB44" s="236"/>
      <c r="AC44" s="292"/>
      <c r="AD44" s="289" t="s">
        <v>40</v>
      </c>
      <c r="AE44" s="320">
        <f ca="1">K20</f>
        <v>37.804974651457542</v>
      </c>
      <c r="AF44" s="287" t="s">
        <v>61</v>
      </c>
      <c r="AG44" s="321">
        <f ca="1">VLOOKUP(AA44,Z47:AH50,8)</f>
        <v>35</v>
      </c>
      <c r="AH44" s="322">
        <f ca="1">VLOOKUP(AA44,Z47:AH50,9)</f>
        <v>47.3</v>
      </c>
      <c r="AI44" s="237"/>
      <c r="AJ44" s="237"/>
    </row>
    <row r="45" spans="8:36" ht="13.5" thickTop="1" x14ac:dyDescent="0.2">
      <c r="I45" s="64" t="str">
        <f>IF(R52&lt;&gt;"OK","",IF(R53&lt;&gt;"OK","Caution: &lt; 1 HR",""))</f>
        <v/>
      </c>
      <c r="P45" s="238"/>
      <c r="Q45" s="333" t="s">
        <v>175</v>
      </c>
      <c r="R45" s="247"/>
      <c r="S45" s="248"/>
      <c r="T45" s="248"/>
      <c r="U45" s="237"/>
      <c r="V45" s="237"/>
      <c r="W45" s="237"/>
      <c r="X45" s="237"/>
      <c r="Y45" s="271" t="s">
        <v>48</v>
      </c>
      <c r="Z45" s="273"/>
      <c r="AA45" s="274" t="s">
        <v>67</v>
      </c>
      <c r="AB45" s="275"/>
      <c r="AC45" s="293"/>
      <c r="AD45" s="273"/>
      <c r="AE45" s="276" t="s">
        <v>66</v>
      </c>
      <c r="AF45" s="273"/>
      <c r="AG45" s="277" t="s">
        <v>46</v>
      </c>
      <c r="AH45" s="278" t="s">
        <v>46</v>
      </c>
      <c r="AI45" s="237"/>
      <c r="AJ45" s="237"/>
    </row>
    <row r="46" spans="8:36" ht="13.5" thickBot="1" x14ac:dyDescent="0.25">
      <c r="P46" s="238"/>
      <c r="Q46" s="239" t="str">
        <f t="shared" ref="Q46:Q53" si="3">"Ln"&amp;ROW()</f>
        <v>Ln46</v>
      </c>
      <c r="R46" s="262" t="str">
        <f>IF(AND(C7="",(E7+C9+E9)&gt;0),"WARN","OK")</f>
        <v>OK</v>
      </c>
      <c r="S46" s="267" t="s">
        <v>89</v>
      </c>
      <c r="T46" s="268"/>
      <c r="U46" s="237"/>
      <c r="V46" s="237"/>
      <c r="W46" s="237"/>
      <c r="X46" s="237"/>
      <c r="Y46" s="271" t="s">
        <v>54</v>
      </c>
      <c r="Z46" s="279" t="s">
        <v>41</v>
      </c>
      <c r="AA46" s="279" t="s">
        <v>42</v>
      </c>
      <c r="AB46" s="280" t="s">
        <v>43</v>
      </c>
      <c r="AC46" s="281" t="s">
        <v>41</v>
      </c>
      <c r="AD46" s="282" t="s">
        <v>42</v>
      </c>
      <c r="AE46" s="283" t="s">
        <v>44</v>
      </c>
      <c r="AF46" s="284" t="s">
        <v>45</v>
      </c>
      <c r="AG46" s="285" t="s">
        <v>68</v>
      </c>
      <c r="AH46" s="286" t="s">
        <v>69</v>
      </c>
      <c r="AI46" s="237"/>
      <c r="AJ46" s="237"/>
    </row>
    <row r="47" spans="8:36" ht="13.5" thickTop="1" x14ac:dyDescent="0.2">
      <c r="P47" s="238"/>
      <c r="Q47" s="239" t="str">
        <f t="shared" si="3"/>
        <v>Ln47</v>
      </c>
      <c r="R47" s="262" t="str">
        <f>IF(C7+E7+C9+E9&gt;0,"INFO","OK")</f>
        <v>OK</v>
      </c>
      <c r="S47" s="267" t="s">
        <v>92</v>
      </c>
      <c r="T47" s="268"/>
      <c r="U47" s="237"/>
      <c r="V47" s="237"/>
      <c r="W47" s="237"/>
      <c r="X47" s="237"/>
      <c r="Y47" s="271" t="s">
        <v>55</v>
      </c>
      <c r="Z47" s="218">
        <f>Z40</f>
        <v>1500</v>
      </c>
      <c r="AA47" s="219">
        <f>Z36</f>
        <v>1948</v>
      </c>
      <c r="AB47" s="204">
        <f>+AA47-Z47</f>
        <v>448</v>
      </c>
      <c r="AC47" s="222">
        <f>AE40</f>
        <v>35</v>
      </c>
      <c r="AD47" s="223">
        <f>AE35</f>
        <v>35</v>
      </c>
      <c r="AE47" s="209">
        <f>AD47-AC47</f>
        <v>0</v>
      </c>
      <c r="AF47" s="210">
        <f>IF(OR(AB47=0,AE47=0),0,ROUND(AE47/AB47,5))</f>
        <v>0</v>
      </c>
      <c r="AG47" s="211">
        <f ca="1">IF(AND(AA44&gt;=Z47,AA44&lt;AA47),AC47+((AA44-Z47)*AF47),AC47)</f>
        <v>35</v>
      </c>
      <c r="AH47" s="212">
        <f>AD50</f>
        <v>47.3</v>
      </c>
      <c r="AI47" s="237"/>
      <c r="AJ47" s="237"/>
    </row>
    <row r="48" spans="8:36" x14ac:dyDescent="0.2">
      <c r="P48" s="238"/>
      <c r="Q48" s="239" t="str">
        <f t="shared" si="3"/>
        <v>Ln48</v>
      </c>
      <c r="R48" s="262" t="str">
        <f>IF(AND(C7&gt;0,D15=0),"WARN","OK")</f>
        <v>OK</v>
      </c>
      <c r="S48" s="253" t="s">
        <v>111</v>
      </c>
      <c r="T48" s="269"/>
      <c r="U48" s="237"/>
      <c r="V48" s="237"/>
      <c r="W48" s="237"/>
      <c r="X48" s="237"/>
      <c r="Y48" s="271" t="s">
        <v>56</v>
      </c>
      <c r="Z48" s="202">
        <f>AA47</f>
        <v>1948</v>
      </c>
      <c r="AA48" s="220">
        <f>AA32</f>
        <v>2550</v>
      </c>
      <c r="AB48" s="205">
        <f>+AA48-Z48</f>
        <v>602</v>
      </c>
      <c r="AC48" s="207">
        <f>IF(AD48=AD47,AC47,AD47)</f>
        <v>35</v>
      </c>
      <c r="AD48" s="224">
        <f>AF32</f>
        <v>41</v>
      </c>
      <c r="AE48" s="209">
        <f>AD48-AC48</f>
        <v>6</v>
      </c>
      <c r="AF48" s="210">
        <f>IF(OR(AB48=0,AE48=0),0,ROUND(AE48/AB48,5))</f>
        <v>9.9699999999999997E-3</v>
      </c>
      <c r="AG48" s="211">
        <f ca="1">IF(AND(AA44&gt;=Z48,AA44&lt;AA48),AC48+((AA44-Z48)*AF48),AC48)</f>
        <v>35</v>
      </c>
      <c r="AH48" s="213">
        <f>AH47</f>
        <v>47.3</v>
      </c>
      <c r="AI48" s="237"/>
      <c r="AJ48" s="237"/>
    </row>
    <row r="49" spans="8:36" x14ac:dyDescent="0.2">
      <c r="P49" s="238"/>
      <c r="Q49" s="239" t="str">
        <f t="shared" si="3"/>
        <v>Ln49</v>
      </c>
      <c r="R49" s="262" t="str">
        <f>IF(AND(C7&gt;0,D16=0),"WARN","OK")</f>
        <v>OK</v>
      </c>
      <c r="S49" s="253" t="s">
        <v>113</v>
      </c>
      <c r="T49" s="269"/>
      <c r="U49" s="237"/>
      <c r="V49" s="237"/>
      <c r="W49" s="237"/>
      <c r="X49" s="237"/>
      <c r="Y49" s="271" t="s">
        <v>54</v>
      </c>
      <c r="Z49" s="202">
        <f>AA48</f>
        <v>2550</v>
      </c>
      <c r="AA49" s="220">
        <f>AC32</f>
        <v>2550</v>
      </c>
      <c r="AB49" s="205">
        <f>+AA49-Z49</f>
        <v>0</v>
      </c>
      <c r="AC49" s="207">
        <f>IF(AD49=AD48,AC48,AD48)</f>
        <v>41</v>
      </c>
      <c r="AD49" s="224">
        <f>AH32</f>
        <v>47.3</v>
      </c>
      <c r="AE49" s="209">
        <f>AD49-AC49</f>
        <v>6.2999999999999972</v>
      </c>
      <c r="AF49" s="210">
        <f>IF(OR(AB49=0,AE49=0),0,ROUND(AE49/AB49,5))</f>
        <v>0</v>
      </c>
      <c r="AG49" s="211">
        <f ca="1">IF(AND(AA44&gt;=Z49,AA44&lt;AA49),AC49+((AA44-Z49)*AF49),AC49)</f>
        <v>41</v>
      </c>
      <c r="AH49" s="213">
        <f>AH48</f>
        <v>47.3</v>
      </c>
      <c r="AI49" s="237"/>
      <c r="AJ49" s="237"/>
    </row>
    <row r="50" spans="8:36" ht="13.5" thickBot="1" x14ac:dyDescent="0.25">
      <c r="P50" s="238"/>
      <c r="Q50" s="239" t="str">
        <f t="shared" si="3"/>
        <v>Ln50</v>
      </c>
      <c r="R50" s="262" t="str">
        <f>IF(AND(C7&gt;0,D17=0),"WARN","OK")</f>
        <v>OK</v>
      </c>
      <c r="S50" s="253" t="s">
        <v>112</v>
      </c>
      <c r="T50" s="269"/>
      <c r="U50" s="237"/>
      <c r="V50" s="237"/>
      <c r="W50" s="237"/>
      <c r="X50" s="237"/>
      <c r="Y50" s="272" t="s">
        <v>57</v>
      </c>
      <c r="Z50" s="203">
        <f>AA49</f>
        <v>2550</v>
      </c>
      <c r="AA50" s="221">
        <f>AC40</f>
        <v>2550</v>
      </c>
      <c r="AB50" s="206">
        <f>+AA50-Z50</f>
        <v>0</v>
      </c>
      <c r="AC50" s="208">
        <f>IF(AD50=AD49,AC49,AD49)</f>
        <v>41</v>
      </c>
      <c r="AD50" s="225">
        <f>AH40</f>
        <v>47.3</v>
      </c>
      <c r="AE50" s="214">
        <f>AD50-AC50</f>
        <v>6.2999999999999972</v>
      </c>
      <c r="AF50" s="215">
        <f>IF(OR(AB50=0,AE50=0),0,ROUND(AE50/AB50,5))</f>
        <v>0</v>
      </c>
      <c r="AG50" s="216">
        <f ca="1">IF(AND(AA44&gt;=Z50,AA44&lt;AA50),AC50+((AA44-Z50)*AF50),AC50)</f>
        <v>41</v>
      </c>
      <c r="AH50" s="217">
        <f>AH49</f>
        <v>47.3</v>
      </c>
      <c r="AI50" s="237"/>
      <c r="AJ50" s="237"/>
    </row>
    <row r="51" spans="8:36" ht="13.9" customHeight="1"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238"/>
      <c r="Q51" s="239" t="str">
        <f t="shared" si="3"/>
        <v>Ln51</v>
      </c>
      <c r="R51" s="262" t="str">
        <f>IF(D18&gt;D15,"ERR","OK")</f>
        <v>OK</v>
      </c>
      <c r="S51" s="253" t="s">
        <v>94</v>
      </c>
      <c r="T51" s="269"/>
      <c r="U51" s="237"/>
      <c r="V51" s="237"/>
      <c r="W51" s="237"/>
      <c r="X51" s="237"/>
      <c r="Y51" s="237"/>
      <c r="Z51" s="237"/>
      <c r="AA51" s="237"/>
      <c r="AB51" s="237"/>
      <c r="AC51" s="237"/>
      <c r="AD51" s="237"/>
      <c r="AE51" s="237"/>
      <c r="AF51" s="237"/>
      <c r="AG51" s="237"/>
      <c r="AH51" s="237"/>
      <c r="AI51" s="237"/>
      <c r="AJ51" s="237"/>
    </row>
    <row r="52" spans="8:36" ht="13.15" customHeight="1" x14ac:dyDescent="0.2">
      <c r="I52" s="758"/>
      <c r="J52" s="762"/>
      <c r="K52" s="762"/>
      <c r="L52" s="762"/>
      <c r="M52" s="763"/>
      <c r="P52" s="238"/>
      <c r="Q52" s="239" t="str">
        <f t="shared" si="3"/>
        <v>Ln52</v>
      </c>
      <c r="R52" s="262" t="str">
        <f>IF(OR(D15=0,D16=0,D17=0),"WARN","OK")</f>
        <v>WARN</v>
      </c>
      <c r="S52" s="253" t="s">
        <v>110</v>
      </c>
      <c r="T52" s="269"/>
      <c r="U52" s="237"/>
      <c r="V52" s="237"/>
      <c r="W52" s="237"/>
      <c r="X52" s="237"/>
      <c r="Y52" s="237"/>
      <c r="Z52" s="237"/>
      <c r="AA52" s="237"/>
      <c r="AB52" s="237"/>
      <c r="AC52" s="237"/>
      <c r="AD52" s="237"/>
      <c r="AE52" s="237"/>
      <c r="AF52" s="237"/>
      <c r="AG52" s="237"/>
      <c r="AH52" s="237"/>
      <c r="AI52" s="237"/>
      <c r="AJ52" s="237"/>
    </row>
    <row r="53" spans="8:36" ht="13.9" customHeight="1" thickBot="1" x14ac:dyDescent="0.25">
      <c r="I53" s="759"/>
      <c r="J53" s="764"/>
      <c r="K53" s="764"/>
      <c r="L53" s="764"/>
      <c r="M53" s="765"/>
      <c r="P53" s="238"/>
      <c r="Q53" s="239" t="str">
        <f t="shared" si="3"/>
        <v>Ln53</v>
      </c>
      <c r="R53" s="262" t="str">
        <f>IF(AND(D15&gt;0,D16&gt;0,D18&gt;0,T43&lt;1),"WARN","OK")</f>
        <v>OK</v>
      </c>
      <c r="S53" s="253" t="s">
        <v>90</v>
      </c>
      <c r="T53" s="269"/>
      <c r="U53" s="237"/>
      <c r="V53" s="237"/>
      <c r="W53" s="237"/>
      <c r="X53" s="237"/>
      <c r="Y53" s="237"/>
      <c r="Z53" s="237"/>
      <c r="AA53" s="237"/>
      <c r="AB53" s="237"/>
      <c r="AC53" s="237"/>
      <c r="AD53" s="237"/>
      <c r="AE53" s="237"/>
      <c r="AF53" s="237"/>
      <c r="AG53" s="237"/>
      <c r="AH53" s="237"/>
      <c r="AI53" s="237"/>
      <c r="AJ53" s="237"/>
    </row>
    <row r="54" spans="8:36" ht="13.5" thickTop="1" x14ac:dyDescent="0.2">
      <c r="H54" s="652"/>
      <c r="I54" s="650" t="str">
        <f>IF(C4&lt;&gt;9999,"","Env "&amp;Z23&amp;"  "&amp;AA23&amp;"  "&amp;AA24&amp;"  "&amp;AA25&amp;"  "&amp;AA26&amp;"     "&amp;AC23&amp;"  "&amp;AD23&amp;"  "&amp;AD24&amp;"  "&amp;AD25&amp;"  "&amp;AD26)</f>
        <v/>
      </c>
      <c r="P54" s="238"/>
      <c r="Q54" s="237"/>
      <c r="R54" s="237"/>
      <c r="S54" s="237"/>
      <c r="T54" s="237"/>
      <c r="U54" s="237"/>
      <c r="V54" s="237"/>
      <c r="W54" s="237"/>
      <c r="X54" s="237"/>
      <c r="Y54" s="237"/>
      <c r="Z54" s="237"/>
      <c r="AA54" s="237"/>
      <c r="AB54" s="237"/>
      <c r="AC54" s="237"/>
      <c r="AD54" s="237"/>
      <c r="AE54" s="237"/>
      <c r="AF54" s="237"/>
      <c r="AG54" s="237"/>
      <c r="AH54" s="237"/>
      <c r="AI54" s="237"/>
      <c r="AJ54" s="237"/>
    </row>
    <row r="55" spans="8:36" x14ac:dyDescent="0.2">
      <c r="H55" s="652"/>
      <c r="I55" s="651" t="str">
        <f>IF(C4&lt;&gt;9999,"","Fuel  T "&amp;T19&amp;"   F "&amp;T18&amp;"      Load   0 "&amp;U37&amp;"  T "&amp;U38&amp;"  F "&amp;U39)</f>
        <v/>
      </c>
      <c r="P55" s="238"/>
      <c r="Q55" s="237"/>
      <c r="R55" s="237"/>
      <c r="S55" s="237"/>
      <c r="T55" s="237"/>
      <c r="U55" s="237"/>
      <c r="V55" s="237"/>
      <c r="W55" s="237"/>
      <c r="X55" s="237"/>
      <c r="Y55" s="237"/>
      <c r="Z55" s="237"/>
      <c r="AA55" s="237"/>
      <c r="AB55" s="237"/>
      <c r="AC55" s="237"/>
      <c r="AD55" s="237"/>
      <c r="AE55" s="237"/>
      <c r="AF55" s="237"/>
      <c r="AG55" s="237"/>
      <c r="AH55" s="237"/>
      <c r="AI55" s="237"/>
      <c r="AJ55" s="237"/>
    </row>
    <row r="56" spans="8:36" x14ac:dyDescent="0.2">
      <c r="P56" s="238"/>
      <c r="Q56" s="237"/>
      <c r="R56" s="237"/>
      <c r="S56" s="237"/>
      <c r="T56" s="237"/>
      <c r="U56" s="237"/>
      <c r="V56" s="237"/>
      <c r="W56" s="237"/>
      <c r="X56" s="237"/>
      <c r="Y56" s="237"/>
      <c r="Z56" s="237"/>
      <c r="AA56" s="237"/>
      <c r="AB56" s="237"/>
      <c r="AC56" s="237"/>
      <c r="AD56" s="237"/>
      <c r="AE56" s="237"/>
      <c r="AF56" s="237"/>
      <c r="AG56" s="237"/>
      <c r="AH56" s="237"/>
      <c r="AI56" s="237"/>
      <c r="AJ56" s="237"/>
    </row>
  </sheetData>
  <sheetProtection password="E398" sheet="1" objects="1" scenarios="1" selectLockedCells="1"/>
  <mergeCells count="44">
    <mergeCell ref="AF41:AG41"/>
    <mergeCell ref="AA35:AB35"/>
    <mergeCell ref="I51:I53"/>
    <mergeCell ref="J51:M53"/>
    <mergeCell ref="B21:B22"/>
    <mergeCell ref="C21:F22"/>
    <mergeCell ref="C23:F23"/>
    <mergeCell ref="C24:F24"/>
    <mergeCell ref="AH37:AH39"/>
    <mergeCell ref="C25:F25"/>
    <mergeCell ref="D28:E28"/>
    <mergeCell ref="F28:H28"/>
    <mergeCell ref="D29:E29"/>
    <mergeCell ref="D30:E30"/>
    <mergeCell ref="F30:H30"/>
    <mergeCell ref="AF35:AG35"/>
    <mergeCell ref="AA36:AB36"/>
    <mergeCell ref="AF36:AG36"/>
    <mergeCell ref="AC37:AC39"/>
    <mergeCell ref="AH13:AH15"/>
    <mergeCell ref="D15:E15"/>
    <mergeCell ref="D16:E16"/>
    <mergeCell ref="D17:E17"/>
    <mergeCell ref="AF17:AG17"/>
    <mergeCell ref="D18:E18"/>
    <mergeCell ref="C11:F11"/>
    <mergeCell ref="AA11:AB11"/>
    <mergeCell ref="AF11:AG11"/>
    <mergeCell ref="C12:F12"/>
    <mergeCell ref="AA12:AB12"/>
    <mergeCell ref="AF12:AG12"/>
    <mergeCell ref="AC13:AC15"/>
    <mergeCell ref="B7:B8"/>
    <mergeCell ref="C7:D8"/>
    <mergeCell ref="E7:F8"/>
    <mergeCell ref="B9:B10"/>
    <mergeCell ref="C9:D10"/>
    <mergeCell ref="E9:F10"/>
    <mergeCell ref="C4:D4"/>
    <mergeCell ref="B1:H1"/>
    <mergeCell ref="C2:E2"/>
    <mergeCell ref="J2:K2"/>
    <mergeCell ref="D3:F3"/>
    <mergeCell ref="J3:K3"/>
  </mergeCells>
  <conditionalFormatting sqref="T37:T38">
    <cfRule type="expression" dxfId="1111" priority="28" stopIfTrue="1">
      <formula>S37=""</formula>
    </cfRule>
  </conditionalFormatting>
  <conditionalFormatting sqref="I26 I28">
    <cfRule type="expression" dxfId="1110" priority="29" stopIfTrue="1">
      <formula>E7=""</formula>
    </cfRule>
  </conditionalFormatting>
  <conditionalFormatting sqref="I27 I29:I30">
    <cfRule type="expression" dxfId="1109" priority="30" stopIfTrue="1">
      <formula>C9=""</formula>
    </cfRule>
  </conditionalFormatting>
  <conditionalFormatting sqref="D12">
    <cfRule type="expression" dxfId="1108" priority="32" stopIfTrue="1">
      <formula>OR(D12&gt;#REF!,D11+D12&gt;#REF!)</formula>
    </cfRule>
  </conditionalFormatting>
  <conditionalFormatting sqref="D11">
    <cfRule type="expression" dxfId="1107" priority="33" stopIfTrue="1">
      <formula>OR(D11&gt;#REF!,D11+D12&gt;#REF!)</formula>
    </cfRule>
  </conditionalFormatting>
  <conditionalFormatting sqref="U37:U39 V19">
    <cfRule type="expression" dxfId="1106" priority="34" stopIfTrue="1">
      <formula>S19=""</formula>
    </cfRule>
  </conditionalFormatting>
  <conditionalFormatting sqref="C25">
    <cfRule type="expression" dxfId="1105" priority="35" stopIfTrue="1">
      <formula>AND(C7="",E7+C9+E9&gt;0)</formula>
    </cfRule>
  </conditionalFormatting>
  <conditionalFormatting sqref="B30">
    <cfRule type="expression" dxfId="1104" priority="36" stopIfTrue="1">
      <formula>D29&gt;D28</formula>
    </cfRule>
  </conditionalFormatting>
  <conditionalFormatting sqref="D30:E30">
    <cfRule type="expression" dxfId="1103" priority="37" stopIfTrue="1">
      <formula>D29&gt;D28</formula>
    </cfRule>
  </conditionalFormatting>
  <conditionalFormatting sqref="F30:H30">
    <cfRule type="expression" dxfId="1102" priority="38" stopIfTrue="1">
      <formula>D29&gt;D28</formula>
    </cfRule>
  </conditionalFormatting>
  <conditionalFormatting sqref="B23 B25">
    <cfRule type="cellIs" dxfId="1101" priority="39" stopIfTrue="1" operator="notEqual">
      <formula>""</formula>
    </cfRule>
  </conditionalFormatting>
  <conditionalFormatting sqref="B24">
    <cfRule type="cellIs" dxfId="1100" priority="41" stopIfTrue="1" operator="notEqual">
      <formula>""</formula>
    </cfRule>
  </conditionalFormatting>
  <conditionalFormatting sqref="R46:R53 R29:R31 R8 R10">
    <cfRule type="cellIs" dxfId="1099" priority="42" stopIfTrue="1" operator="notEqual">
      <formula>""</formula>
    </cfRule>
  </conditionalFormatting>
  <conditionalFormatting sqref="S37:S39">
    <cfRule type="expression" dxfId="1098" priority="43" stopIfTrue="1">
      <formula>S37=""</formula>
    </cfRule>
  </conditionalFormatting>
  <conditionalFormatting sqref="R18">
    <cfRule type="cellIs" dxfId="1097" priority="44" stopIfTrue="1" operator="notEqual">
      <formula>""</formula>
    </cfRule>
  </conditionalFormatting>
  <conditionalFormatting sqref="J5">
    <cfRule type="expression" dxfId="1096" priority="45" stopIfTrue="1">
      <formula>expired=TRUE</formula>
    </cfRule>
  </conditionalFormatting>
  <conditionalFormatting sqref="B1:H1">
    <cfRule type="expression" dxfId="1095" priority="46" stopIfTrue="1">
      <formula>expired=TRUE</formula>
    </cfRule>
    <cfRule type="expression" dxfId="1094" priority="47" stopIfTrue="1">
      <formula>old_ver=TRUE</formula>
    </cfRule>
  </conditionalFormatting>
  <conditionalFormatting sqref="I3">
    <cfRule type="expression" dxfId="1093" priority="48" stopIfTrue="1">
      <formula>D3=""</formula>
    </cfRule>
  </conditionalFormatting>
  <conditionalFormatting sqref="J2">
    <cfRule type="expression" dxfId="1092" priority="49" stopIfTrue="1">
      <formula>D3=""</formula>
    </cfRule>
  </conditionalFormatting>
  <conditionalFormatting sqref="L2">
    <cfRule type="expression" dxfId="1091" priority="50" stopIfTrue="1">
      <formula>D3=""</formula>
    </cfRule>
  </conditionalFormatting>
  <conditionalFormatting sqref="L3">
    <cfRule type="expression" dxfId="1090" priority="51" stopIfTrue="1">
      <formula>D3=""</formula>
    </cfRule>
  </conditionalFormatting>
  <conditionalFormatting sqref="J3:K3">
    <cfRule type="expression" dxfId="1089" priority="52" stopIfTrue="1">
      <formula>D3=""</formula>
    </cfRule>
  </conditionalFormatting>
  <conditionalFormatting sqref="I2">
    <cfRule type="expression" dxfId="1088" priority="53" stopIfTrue="1">
      <formula>AND(D3="",C2="")</formula>
    </cfRule>
  </conditionalFormatting>
  <conditionalFormatting sqref="E21:E22">
    <cfRule type="expression" dxfId="1087" priority="54" stopIfTrue="1">
      <formula>OR(AC19="out",AF19="out")</formula>
    </cfRule>
  </conditionalFormatting>
  <conditionalFormatting sqref="M17">
    <cfRule type="expression" dxfId="1086" priority="55" stopIfTrue="1">
      <formula>AE19="out"</formula>
    </cfRule>
  </conditionalFormatting>
  <conditionalFormatting sqref="K17">
    <cfRule type="expression" dxfId="1085" priority="56" stopIfTrue="1">
      <formula>AE19&lt;&gt;"OK"</formula>
    </cfRule>
  </conditionalFormatting>
  <conditionalFormatting sqref="F21:F22">
    <cfRule type="expression" dxfId="1084" priority="57" stopIfTrue="1">
      <formula>OR(AE19="out",AG19="out")</formula>
    </cfRule>
  </conditionalFormatting>
  <conditionalFormatting sqref="C21:C22">
    <cfRule type="expression" dxfId="1083" priority="58" stopIfTrue="1">
      <formula>OR(AA19="out",AE19="out")</formula>
    </cfRule>
  </conditionalFormatting>
  <conditionalFormatting sqref="D21:D22">
    <cfRule type="expression" dxfId="1082" priority="59" stopIfTrue="1">
      <formula>OR(AB19="out",#REF!="out")</formula>
    </cfRule>
  </conditionalFormatting>
  <conditionalFormatting sqref="F12">
    <cfRule type="expression" dxfId="1081" priority="60" stopIfTrue="1">
      <formula>OR(F12&gt;#REF!,F11+F12&gt;#REF!)</formula>
    </cfRule>
  </conditionalFormatting>
  <conditionalFormatting sqref="F11">
    <cfRule type="expression" dxfId="1080" priority="61" stopIfTrue="1">
      <formula>OR(F11&gt;#REF!,F11+F12&gt;#REF!)</formula>
    </cfRule>
  </conditionalFormatting>
  <conditionalFormatting sqref="K20">
    <cfRule type="expression" dxfId="1079" priority="62" stopIfTrue="1">
      <formula>AE43&lt;&gt;"OK"</formula>
    </cfRule>
  </conditionalFormatting>
  <conditionalFormatting sqref="J16">
    <cfRule type="expression" dxfId="1078" priority="63" stopIfTrue="1">
      <formula>R8&lt;&gt;"OK"</formula>
    </cfRule>
  </conditionalFormatting>
  <conditionalFormatting sqref="J19">
    <cfRule type="expression" dxfId="1077" priority="64" stopIfTrue="1">
      <formula>R10&lt;&gt;"OK"</formula>
    </cfRule>
  </conditionalFormatting>
  <conditionalFormatting sqref="B21">
    <cfRule type="expression" dxfId="1076" priority="65" stopIfTrue="1">
      <formula>R10&lt;&gt;"OK"</formula>
    </cfRule>
    <cfRule type="expression" dxfId="1075" priority="66" stopIfTrue="1">
      <formula>R11&lt;&gt;"OK"</formula>
    </cfRule>
  </conditionalFormatting>
  <conditionalFormatting sqref="V27">
    <cfRule type="expression" dxfId="1074" priority="24" stopIfTrue="1">
      <formula>T27=""</formula>
    </cfRule>
  </conditionalFormatting>
  <conditionalFormatting sqref="V26">
    <cfRule type="expression" dxfId="1073" priority="25" stopIfTrue="1">
      <formula>S26=""</formula>
    </cfRule>
  </conditionalFormatting>
  <conditionalFormatting sqref="D15:E15">
    <cfRule type="expression" dxfId="1072" priority="67" stopIfTrue="1">
      <formula>R18="err"</formula>
    </cfRule>
  </conditionalFormatting>
  <conditionalFormatting sqref="F23">
    <cfRule type="expression" dxfId="1071" priority="68" stopIfTrue="1">
      <formula>#REF!&lt;&gt;"OK"</formula>
    </cfRule>
  </conditionalFormatting>
  <conditionalFormatting sqref="M16">
    <cfRule type="expression" dxfId="1070" priority="69" stopIfTrue="1">
      <formula>J16&gt;U8</formula>
    </cfRule>
  </conditionalFormatting>
  <conditionalFormatting sqref="V18">
    <cfRule type="expression" dxfId="1069" priority="70" stopIfTrue="1">
      <formula>S18=""</formula>
    </cfRule>
  </conditionalFormatting>
  <conditionalFormatting sqref="E12">
    <cfRule type="expression" dxfId="1068" priority="80" stopIfTrue="1">
      <formula>OR(E12&gt;Y26,E11+E12&gt;Y44)</formula>
    </cfRule>
  </conditionalFormatting>
  <conditionalFormatting sqref="E11">
    <cfRule type="expression" dxfId="1067" priority="81" stopIfTrue="1">
      <formula>OR(E11&gt;Y25,E11+E12&gt;Y44)</formula>
    </cfRule>
  </conditionalFormatting>
  <conditionalFormatting sqref="B22">
    <cfRule type="expression" dxfId="1066" priority="1160" stopIfTrue="1">
      <formula>R11&lt;&gt;"OK"</formula>
    </cfRule>
    <cfRule type="expression" dxfId="1065" priority="1161" stopIfTrue="1">
      <formula>R29&lt;&gt;"OK"</formula>
    </cfRule>
  </conditionalFormatting>
  <conditionalFormatting sqref="C12">
    <cfRule type="expression" dxfId="1064" priority="1162" stopIfTrue="1">
      <formula>OR(C12&gt;V30,C11+C12&gt;V31)</formula>
    </cfRule>
  </conditionalFormatting>
  <conditionalFormatting sqref="C11">
    <cfRule type="expression" dxfId="1063" priority="1163" stopIfTrue="1">
      <formula>OR(C11&gt;V29,C11+C12&gt;V31)</formula>
    </cfRule>
  </conditionalFormatting>
  <conditionalFormatting sqref="C23:E23">
    <cfRule type="expression" dxfId="1062" priority="1164" stopIfTrue="1">
      <formula>R53&lt;&gt;"OK"</formula>
    </cfRule>
  </conditionalFormatting>
  <conditionalFormatting sqref="C7:D8">
    <cfRule type="expression" dxfId="1061" priority="1165" stopIfTrue="1">
      <formula>R46&lt;&gt;"OK"</formula>
    </cfRule>
  </conditionalFormatting>
  <conditionalFormatting sqref="D18:E18">
    <cfRule type="expression" dxfId="1060" priority="1166" stopIfTrue="1">
      <formula>R51&lt;&gt;"OK"</formula>
    </cfRule>
  </conditionalFormatting>
  <conditionalFormatting sqref="B18 B20">
    <cfRule type="expression" dxfId="1059" priority="1167" stopIfTrue="1">
      <formula>R51&lt;&gt;"OK"</formula>
    </cfRule>
  </conditionalFormatting>
  <conditionalFormatting sqref="D19">
    <cfRule type="expression" dxfId="1058" priority="1169" stopIfTrue="1">
      <formula>R53&lt;&gt;"ok"</formula>
    </cfRule>
  </conditionalFormatting>
  <conditionalFormatting sqref="S21">
    <cfRule type="expression" dxfId="1057" priority="15" stopIfTrue="1">
      <formula>T21=""</formula>
    </cfRule>
  </conditionalFormatting>
  <conditionalFormatting sqref="S22:S23">
    <cfRule type="expression" dxfId="1056" priority="14" stopIfTrue="1">
      <formula>S22=""</formula>
    </cfRule>
  </conditionalFormatting>
  <conditionalFormatting sqref="S20">
    <cfRule type="expression" dxfId="1055" priority="12">
      <formula>AND(OR(T20="",LEFT(T20,1)="F"),T18&lt;&gt;T19)</formula>
    </cfRule>
    <cfRule type="expression" dxfId="1054" priority="13">
      <formula>AND(LEFT(T20,1)&lt;&gt;"F",T18=T19)</formula>
    </cfRule>
  </conditionalFormatting>
  <conditionalFormatting sqref="R20">
    <cfRule type="cellIs" dxfId="1053" priority="11" stopIfTrue="1" operator="notEqual">
      <formula>""</formula>
    </cfRule>
  </conditionalFormatting>
  <conditionalFormatting sqref="V20">
    <cfRule type="expression" dxfId="1052" priority="10" stopIfTrue="1">
      <formula>T20=""</formula>
    </cfRule>
  </conditionalFormatting>
  <conditionalFormatting sqref="S12:S15">
    <cfRule type="expression" dxfId="1051" priority="7" stopIfTrue="1">
      <formula>S12=""</formula>
    </cfRule>
  </conditionalFormatting>
  <conditionalFormatting sqref="V21">
    <cfRule type="expression" dxfId="1050" priority="5" stopIfTrue="1">
      <formula>T21=""</formula>
    </cfRule>
  </conditionalFormatting>
  <conditionalFormatting sqref="R11">
    <cfRule type="cellIs" dxfId="1049" priority="4" stopIfTrue="1" operator="notEqual">
      <formula>""</formula>
    </cfRule>
  </conditionalFormatting>
  <conditionalFormatting sqref="S19">
    <cfRule type="expression" dxfId="1048" priority="2" stopIfTrue="1">
      <formula>#REF!=""</formula>
    </cfRule>
  </conditionalFormatting>
  <conditionalFormatting sqref="C24:F24">
    <cfRule type="cellIs" dxfId="1047" priority="1" stopIfTrue="1" operator="notEqual">
      <formula>""</formula>
    </cfRule>
  </conditionalFormatting>
  <dataValidations count="3">
    <dataValidation type="date" allowBlank="1" showInputMessage="1" showErrorMessage="1" errorTitle="Input Error" error="A valid date must be entered into this cell.  Enter as  mm/dd/yy  _x000a__x000a_" sqref="C2:E2" xr:uid="{00000000-0002-0000-0300-000000000000}">
      <formula1>36526</formula1>
      <formula2>44196</formula2>
    </dataValidation>
    <dataValidation type="custom" allowBlank="1" showInputMessage="1" showErrorMessage="1" errorTitle="Input Error" error="Entry must be a NUMERIC VALUE!" sqref="D15:E17 C7:F12" xr:uid="{00000000-0002-0000-0300-000001000000}">
      <formula1>ISNUMBER(C7)</formula1>
    </dataValidation>
    <dataValidation type="list" showInputMessage="1" showErrorMessage="1" errorTitle="STANDARD FUELING LEVEL" error="STANDARD FUELING LEVEL MUST BE ENTERED:_x000a_TABS,_x000a_Measured,_x000a_FULL" sqref="T20" xr:uid="{00000000-0002-0000-0300-000002000000}">
      <formula1>"TABS,Measured,FULL"</formula1>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5" tint="-0.249977111117893"/>
    <pageSetUpPr fitToPage="1"/>
  </sheetPr>
  <dimension ref="B1:AJ56"/>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5" width="4.7109375" hidden="1" customWidth="1"/>
    <col min="16" max="16" width="11.7109375" style="41" hidden="1" customWidth="1"/>
    <col min="17" max="17" width="9.7109375" style="41" hidden="1" customWidth="1"/>
    <col min="18" max="18" width="8.42578125" style="41" hidden="1" customWidth="1"/>
    <col min="19" max="19" width="19" style="41" hidden="1" customWidth="1"/>
    <col min="20" max="22" width="7.7109375" style="41" hidden="1" customWidth="1"/>
    <col min="23" max="23" width="29.42578125" style="41" hidden="1" customWidth="1"/>
    <col min="24" max="24" width="4.7109375" style="41" hidden="1" customWidth="1"/>
    <col min="25" max="25" width="3.5703125" style="41" hidden="1" customWidth="1"/>
    <col min="26" max="33" width="9.140625" style="41" hidden="1" customWidth="1"/>
    <col min="34" max="34" width="9.5703125" style="41" hidden="1" customWidth="1"/>
    <col min="35" max="36" width="9" hidden="1" customWidth="1"/>
    <col min="37" max="37" width="8.140625" customWidth="1"/>
  </cols>
  <sheetData>
    <row r="1" spans="2:36" ht="22.5" customHeight="1" thickBot="1" x14ac:dyDescent="0.25">
      <c r="B1" s="807" t="str">
        <f ca="1">status_msg</f>
        <v/>
      </c>
      <c r="C1" s="807"/>
      <c r="D1" s="807"/>
      <c r="E1" s="807"/>
      <c r="F1" s="807"/>
      <c r="G1" s="807"/>
      <c r="H1" s="807"/>
      <c r="I1" s="303" t="str">
        <f>Q1</f>
        <v xml:space="preserve">CAP </v>
      </c>
      <c r="J1" s="303" t="str">
        <f>R1</f>
        <v>N</v>
      </c>
      <c r="K1" s="304"/>
      <c r="L1" s="301" t="str">
        <f>S1</f>
        <v>(230hp C182T) Long Range Tanks</v>
      </c>
      <c r="M1" s="302"/>
      <c r="P1" s="354" t="s">
        <v>178</v>
      </c>
      <c r="Q1" s="355" t="s">
        <v>305</v>
      </c>
      <c r="R1" s="355" t="s">
        <v>54</v>
      </c>
      <c r="S1" s="356" t="s">
        <v>181</v>
      </c>
      <c r="T1" s="356"/>
      <c r="U1" s="357"/>
      <c r="V1" s="357"/>
      <c r="W1" s="357"/>
      <c r="X1" s="357"/>
      <c r="Y1" s="357"/>
      <c r="Z1" s="357"/>
      <c r="AA1" s="357"/>
      <c r="AB1" s="357"/>
      <c r="AC1" s="357"/>
      <c r="AD1" s="357"/>
      <c r="AE1" s="357"/>
      <c r="AF1" s="357"/>
      <c r="AG1" s="357"/>
      <c r="AH1" s="357"/>
      <c r="AI1" s="237"/>
      <c r="AJ1" s="237"/>
    </row>
    <row r="2" spans="2:36" ht="15" customHeight="1" thickTop="1" thickBot="1" x14ac:dyDescent="0.25">
      <c r="B2" s="137" t="s">
        <v>131</v>
      </c>
      <c r="C2" s="808"/>
      <c r="D2" s="808"/>
      <c r="E2" s="809"/>
      <c r="F2" s="142" t="str">
        <f>IF(D3="","mm/dd/yy","(if not today)")</f>
        <v>mm/dd/yy</v>
      </c>
      <c r="H2" s="326"/>
      <c r="I2" s="138" t="s">
        <v>131</v>
      </c>
      <c r="J2" s="810" t="str">
        <f>IF(C3="","","Mission Symbol")&amp;"   Mission No:"</f>
        <v xml:space="preserve">   Mission No:</v>
      </c>
      <c r="K2" s="810"/>
      <c r="L2" s="327" t="s">
        <v>130</v>
      </c>
      <c r="P2" s="358"/>
      <c r="Q2" s="359" t="s">
        <v>173</v>
      </c>
      <c r="R2" s="359" t="s">
        <v>145</v>
      </c>
      <c r="S2" s="360" t="s">
        <v>172</v>
      </c>
      <c r="T2" s="361"/>
      <c r="U2" s="357"/>
      <c r="V2" s="357"/>
      <c r="W2" s="357"/>
      <c r="X2" s="357"/>
      <c r="Y2" s="357"/>
      <c r="Z2" s="357"/>
      <c r="AA2" s="357"/>
      <c r="AB2" s="357"/>
      <c r="AC2" s="357"/>
      <c r="AD2" s="357"/>
      <c r="AE2" s="357"/>
      <c r="AF2" s="357"/>
      <c r="AG2" s="357"/>
      <c r="AH2" s="357"/>
      <c r="AI2" s="237"/>
      <c r="AJ2" s="237"/>
    </row>
    <row r="3" spans="2:36" ht="15" customHeight="1" thickTop="1" thickBot="1" x14ac:dyDescent="0.25">
      <c r="B3" s="140" t="s">
        <v>137</v>
      </c>
      <c r="C3" s="328"/>
      <c r="D3" s="811"/>
      <c r="E3" s="811"/>
      <c r="F3" s="812"/>
      <c r="I3" s="131" t="str">
        <f ca="1">IF(AND(D3="",C2=""),"",IF(C2="",TODAY(),C2))</f>
        <v/>
      </c>
      <c r="J3" s="813" t="str">
        <f>IF(C3="","",IF(D3="","",C3))&amp;"      "&amp;IF(D3="","",D3)</f>
        <v xml:space="preserve">      </v>
      </c>
      <c r="K3" s="814"/>
      <c r="L3" s="132" t="str">
        <f>IF(C4="","",C4)</f>
        <v/>
      </c>
      <c r="P3" s="362"/>
      <c r="Q3" s="363"/>
      <c r="R3" s="363"/>
      <c r="S3" s="357"/>
      <c r="T3" s="357"/>
      <c r="U3" s="357"/>
      <c r="V3" s="357"/>
      <c r="W3" s="357"/>
      <c r="X3" s="357"/>
      <c r="Y3" s="357"/>
      <c r="Z3" s="364"/>
      <c r="AA3" s="357"/>
      <c r="AB3" s="365"/>
      <c r="AC3" s="357"/>
      <c r="AD3" s="357"/>
      <c r="AE3" s="357"/>
      <c r="AF3" s="357"/>
      <c r="AG3" s="357"/>
      <c r="AH3" s="357"/>
      <c r="AI3" s="237"/>
      <c r="AJ3" s="237"/>
    </row>
    <row r="4" spans="2:36" ht="12" customHeight="1" thickTop="1" x14ac:dyDescent="0.2">
      <c r="B4" s="140" t="s">
        <v>130</v>
      </c>
      <c r="C4" s="805"/>
      <c r="D4" s="806"/>
      <c r="E4" s="140"/>
      <c r="J4" s="139"/>
      <c r="P4" s="553" t="s">
        <v>222</v>
      </c>
      <c r="Q4" s="366"/>
      <c r="R4" s="366"/>
      <c r="S4" s="357"/>
      <c r="T4" s="367" t="s">
        <v>98</v>
      </c>
      <c r="U4" s="368"/>
      <c r="V4" s="369" t="s">
        <v>99</v>
      </c>
      <c r="W4" s="357"/>
      <c r="X4" s="357"/>
      <c r="Y4" s="357"/>
      <c r="Z4" s="357"/>
      <c r="AA4" s="357"/>
      <c r="AB4" s="357"/>
      <c r="AC4" s="357"/>
      <c r="AD4" s="357"/>
      <c r="AE4" s="357"/>
      <c r="AF4" s="357"/>
      <c r="AG4" s="357"/>
      <c r="AH4" s="357"/>
      <c r="AI4" s="237"/>
      <c r="AJ4" s="237"/>
    </row>
    <row r="5" spans="2:36" ht="12" customHeight="1" x14ac:dyDescent="0.2">
      <c r="I5" s="35"/>
      <c r="J5" s="36"/>
      <c r="K5" s="36"/>
      <c r="L5" s="36"/>
      <c r="M5" s="134" t="str">
        <f>"Release ID:   "&amp;release_nbr&amp;"    "&amp;TEXT(release_date,"dd mmm yyyy  ")</f>
        <v xml:space="preserve">Release ID:   R1    21 Mar 2020  </v>
      </c>
      <c r="P5" s="362"/>
      <c r="Q5" s="357"/>
      <c r="R5" s="357"/>
      <c r="S5" s="357"/>
      <c r="T5" s="357"/>
      <c r="U5" s="357"/>
      <c r="V5" s="357"/>
      <c r="W5" s="357"/>
      <c r="X5" s="357"/>
      <c r="Y5" s="357"/>
      <c r="Z5" s="357"/>
      <c r="AA5" s="357"/>
      <c r="AB5" s="357"/>
      <c r="AC5" s="357"/>
      <c r="AD5" s="357"/>
      <c r="AE5" s="357"/>
      <c r="AF5" s="357"/>
      <c r="AG5" s="357"/>
      <c r="AH5" s="357"/>
      <c r="AI5" s="237"/>
      <c r="AJ5" s="237"/>
    </row>
    <row r="6" spans="2:36" ht="12.75" customHeight="1" thickBot="1" x14ac:dyDescent="0.35">
      <c r="B6" s="3" t="s">
        <v>31</v>
      </c>
      <c r="I6" s="37" t="s">
        <v>0</v>
      </c>
      <c r="J6" s="38" t="s">
        <v>1</v>
      </c>
      <c r="K6" s="38" t="s">
        <v>2</v>
      </c>
      <c r="L6" s="39" t="s">
        <v>97</v>
      </c>
      <c r="M6" s="133" t="s">
        <v>3</v>
      </c>
      <c r="P6" s="362"/>
      <c r="Q6" s="370" t="s">
        <v>120</v>
      </c>
      <c r="R6" s="371"/>
      <c r="S6" s="371"/>
      <c r="T6" s="371"/>
      <c r="U6" s="372" t="s">
        <v>1</v>
      </c>
      <c r="V6" s="372" t="s">
        <v>2</v>
      </c>
      <c r="W6" s="373" t="s">
        <v>179</v>
      </c>
      <c r="X6" s="357"/>
      <c r="Y6" s="357"/>
      <c r="Z6" s="357"/>
      <c r="AA6" s="357"/>
      <c r="AB6" s="374" t="s">
        <v>163</v>
      </c>
      <c r="AC6" s="371"/>
      <c r="AD6" s="371"/>
      <c r="AE6" s="371"/>
      <c r="AF6" s="371"/>
      <c r="AG6" s="371"/>
      <c r="AH6" s="357"/>
      <c r="AI6" s="237"/>
      <c r="AJ6" s="237"/>
    </row>
    <row r="7" spans="2:36" ht="15" customHeight="1" thickTop="1" thickBot="1" x14ac:dyDescent="0.25">
      <c r="B7" s="803" t="s">
        <v>32</v>
      </c>
      <c r="C7" s="802"/>
      <c r="D7" s="804"/>
      <c r="E7" s="802"/>
      <c r="F7" s="800"/>
      <c r="H7" s="1"/>
      <c r="I7" s="13" t="s">
        <v>4</v>
      </c>
      <c r="J7" s="188">
        <f>U7</f>
        <v>2039.6</v>
      </c>
      <c r="K7" s="67">
        <f>V7</f>
        <v>39.72</v>
      </c>
      <c r="L7" s="68">
        <f>ROUND(J7*K7/1000,5)</f>
        <v>81.012910000000005</v>
      </c>
      <c r="M7" s="586" t="str">
        <f>IF(W7="","",W7)</f>
        <v>W/B: 17-MAY-16 Yingling Aircraft</v>
      </c>
      <c r="P7" s="362"/>
      <c r="Q7" s="375" t="str">
        <f>"Ln"&amp;ROW()</f>
        <v>Ln7</v>
      </c>
      <c r="R7" s="376"/>
      <c r="S7" s="377" t="s">
        <v>4</v>
      </c>
      <c r="T7" s="378"/>
      <c r="U7" s="379">
        <v>2039.6</v>
      </c>
      <c r="V7" s="380">
        <v>39.72</v>
      </c>
      <c r="W7" s="381" t="s">
        <v>271</v>
      </c>
      <c r="X7" s="357"/>
      <c r="Y7" s="357"/>
      <c r="Z7" s="357"/>
      <c r="AA7" s="357"/>
      <c r="AB7" s="357"/>
      <c r="AC7" s="382"/>
      <c r="AD7" s="383" t="s">
        <v>162</v>
      </c>
      <c r="AE7" s="357"/>
      <c r="AF7" s="357"/>
      <c r="AG7" s="357"/>
      <c r="AH7" s="357"/>
      <c r="AI7" s="237"/>
      <c r="AJ7" s="237"/>
    </row>
    <row r="8" spans="2:36" ht="15" customHeight="1" thickTop="1" thickBot="1" x14ac:dyDescent="0.25">
      <c r="B8" s="803"/>
      <c r="C8" s="802"/>
      <c r="D8" s="804"/>
      <c r="E8" s="802"/>
      <c r="F8" s="800"/>
      <c r="H8" s="1"/>
      <c r="I8" s="125" t="s">
        <v>10</v>
      </c>
      <c r="J8" s="189">
        <f>D15*6</f>
        <v>0</v>
      </c>
      <c r="K8" s="69">
        <f>U18</f>
        <v>48</v>
      </c>
      <c r="L8" s="72">
        <f>ROUND((J8*K8)/1000,5)</f>
        <v>0</v>
      </c>
      <c r="M8" s="11" t="str">
        <f>V18&amp;" lbs Max ("&amp;T18&amp;" gals)  "&amp;IF(OR(T18=T19,T19="",T19=0),"",V19&amp;" lbs Tabs ("&amp;T19&amp;" gals)")</f>
        <v xml:space="preserve">240 lbs Max (40 gals)  </v>
      </c>
      <c r="P8" s="362"/>
      <c r="Q8" s="375" t="str">
        <f t="shared" ref="Q8:Q34" si="0">"Ln"&amp;ROW()</f>
        <v>Ln8</v>
      </c>
      <c r="R8" s="384" t="str">
        <f ca="1">IF(J16&gt;U8,"ERR","OK")</f>
        <v>OK</v>
      </c>
      <c r="S8" s="377" t="s">
        <v>168</v>
      </c>
      <c r="T8" s="378"/>
      <c r="U8" s="385">
        <v>2550</v>
      </c>
      <c r="V8" s="357"/>
      <c r="W8" s="357"/>
      <c r="X8" s="357"/>
      <c r="Y8" s="386"/>
      <c r="Z8" s="387"/>
      <c r="AA8" s="388">
        <v>2550</v>
      </c>
      <c r="AC8" s="624">
        <f>AA8</f>
        <v>2550</v>
      </c>
      <c r="AD8" s="357"/>
      <c r="AF8" s="389">
        <v>41</v>
      </c>
      <c r="AH8" s="390">
        <v>47.3</v>
      </c>
      <c r="AI8" s="237"/>
      <c r="AJ8" s="237"/>
    </row>
    <row r="9" spans="2:36" ht="15" customHeight="1" thickTop="1" thickBot="1" x14ac:dyDescent="0.25">
      <c r="B9" s="803" t="s">
        <v>33</v>
      </c>
      <c r="C9" s="802"/>
      <c r="D9" s="804"/>
      <c r="E9" s="802"/>
      <c r="F9" s="800"/>
      <c r="H9" s="1"/>
      <c r="I9" s="125" t="s">
        <v>11</v>
      </c>
      <c r="J9" s="189">
        <f>C7+E7</f>
        <v>0</v>
      </c>
      <c r="K9" s="69">
        <f>U26</f>
        <v>37</v>
      </c>
      <c r="L9" s="72">
        <f>ROUND((J9*K9)/1000,5)</f>
        <v>0</v>
      </c>
      <c r="M9" s="11" t="str">
        <f>IF(W26="","",W26)</f>
        <v/>
      </c>
      <c r="P9" s="362"/>
      <c r="Q9" s="375" t="str">
        <f t="shared" si="0"/>
        <v>Ln9</v>
      </c>
      <c r="R9" s="391"/>
      <c r="S9" s="377" t="s">
        <v>169</v>
      </c>
      <c r="T9" s="378"/>
      <c r="U9" s="385">
        <v>2557</v>
      </c>
      <c r="V9" s="392"/>
      <c r="W9" s="393" t="s">
        <v>176</v>
      </c>
      <c r="X9" s="357"/>
      <c r="Y9" s="394"/>
      <c r="Z9" s="395"/>
      <c r="AD9" s="357"/>
      <c r="AI9" s="237"/>
      <c r="AJ9" s="237"/>
    </row>
    <row r="10" spans="2:36" ht="15" customHeight="1" thickTop="1" thickBot="1" x14ac:dyDescent="0.3">
      <c r="B10" s="803"/>
      <c r="C10" s="802"/>
      <c r="D10" s="804"/>
      <c r="E10" s="802"/>
      <c r="F10" s="800"/>
      <c r="H10" s="1"/>
      <c r="I10" s="125" t="s">
        <v>12</v>
      </c>
      <c r="J10" s="189">
        <f>C9+E9</f>
        <v>0</v>
      </c>
      <c r="K10" s="69">
        <f>U27</f>
        <v>73</v>
      </c>
      <c r="L10" s="72">
        <f>ROUND((J10*K10)/1000,5)</f>
        <v>0</v>
      </c>
      <c r="M10" s="11" t="str">
        <f>IF(W27="","",W27)</f>
        <v/>
      </c>
      <c r="P10" s="362"/>
      <c r="Q10" s="375" t="str">
        <f t="shared" si="0"/>
        <v>Ln10</v>
      </c>
      <c r="R10" s="384" t="str">
        <f>IF(U8=U10,"OK",IF(J20&gt;U10,"WARN","OK"))</f>
        <v>OK</v>
      </c>
      <c r="S10" s="377" t="s">
        <v>170</v>
      </c>
      <c r="T10" s="378"/>
      <c r="U10" s="385">
        <v>2550</v>
      </c>
      <c r="V10" s="392"/>
      <c r="W10" s="393" t="s">
        <v>176</v>
      </c>
      <c r="X10" s="357"/>
      <c r="Y10" s="396" t="s">
        <v>155</v>
      </c>
      <c r="Z10" s="395"/>
      <c r="AD10" s="357"/>
      <c r="AI10" s="237"/>
      <c r="AJ10" s="237"/>
    </row>
    <row r="11" spans="2:36" ht="15" customHeight="1" thickTop="1" thickBot="1" x14ac:dyDescent="0.3">
      <c r="B11" s="6" t="s">
        <v>25</v>
      </c>
      <c r="C11" s="800"/>
      <c r="D11" s="801"/>
      <c r="E11" s="801"/>
      <c r="F11" s="802"/>
      <c r="H11" s="1"/>
      <c r="I11" s="19" t="s">
        <v>13</v>
      </c>
      <c r="J11" s="189">
        <f>C11</f>
        <v>0</v>
      </c>
      <c r="K11" s="69">
        <f>U29</f>
        <v>95</v>
      </c>
      <c r="L11" s="72">
        <f>ROUND((J11*K11)/1000,5)</f>
        <v>0</v>
      </c>
      <c r="M11" s="11" t="str">
        <f>V29&amp;" lbs max ("&amp;V31&amp;" max baggage 1+2)"</f>
        <v>120 lbs max (120 max baggage 1+2)</v>
      </c>
      <c r="P11" s="362"/>
      <c r="Q11" s="375" t="str">
        <f t="shared" si="0"/>
        <v>Ln11</v>
      </c>
      <c r="R11" s="384" t="str">
        <f>IF(U8=U10,"OK",IF(J19&gt;U11,"WARN","OK"))</f>
        <v>OK</v>
      </c>
      <c r="S11" s="397" t="s">
        <v>171</v>
      </c>
      <c r="T11" s="398"/>
      <c r="U11" s="399">
        <f>U10</f>
        <v>2550</v>
      </c>
      <c r="V11" s="357"/>
      <c r="W11" s="357"/>
      <c r="X11" s="357"/>
      <c r="Y11" s="396" t="s">
        <v>50</v>
      </c>
      <c r="Z11" s="395"/>
      <c r="AA11" s="766" t="s">
        <v>1</v>
      </c>
      <c r="AB11" s="766"/>
      <c r="AD11" s="357"/>
      <c r="AF11" s="766" t="s">
        <v>154</v>
      </c>
      <c r="AG11" s="766"/>
      <c r="AI11" s="237"/>
      <c r="AJ11" s="237"/>
    </row>
    <row r="12" spans="2:36" ht="15" customHeight="1" thickTop="1" thickBot="1" x14ac:dyDescent="0.3">
      <c r="B12" s="6" t="s">
        <v>26</v>
      </c>
      <c r="C12" s="800"/>
      <c r="D12" s="801"/>
      <c r="E12" s="801"/>
      <c r="F12" s="802"/>
      <c r="H12" s="1"/>
      <c r="I12" s="19" t="s">
        <v>14</v>
      </c>
      <c r="J12" s="189">
        <f>C12</f>
        <v>0</v>
      </c>
      <c r="K12" s="69">
        <f>U30</f>
        <v>123</v>
      </c>
      <c r="L12" s="72">
        <f>ROUND((J12*K12)/1000,5)</f>
        <v>0</v>
      </c>
      <c r="M12" s="11" t="str">
        <f>V30&amp;" lbs max"</f>
        <v>50 lbs max</v>
      </c>
      <c r="P12" s="362"/>
      <c r="Q12" s="375" t="str">
        <f t="shared" si="0"/>
        <v>Ln12</v>
      </c>
      <c r="R12" s="391"/>
      <c r="S12" s="400" t="s">
        <v>7</v>
      </c>
      <c r="T12" s="391"/>
      <c r="U12" s="391"/>
      <c r="V12" s="392"/>
      <c r="W12" s="393" t="s">
        <v>176</v>
      </c>
      <c r="X12" s="357"/>
      <c r="Y12" s="396" t="s">
        <v>56</v>
      </c>
      <c r="Z12" s="388">
        <v>1948</v>
      </c>
      <c r="AA12" s="766" t="s">
        <v>153</v>
      </c>
      <c r="AB12" s="766"/>
      <c r="AD12" s="357"/>
      <c r="AE12" s="623">
        <f>AE16</f>
        <v>35</v>
      </c>
      <c r="AF12" s="766" t="s">
        <v>153</v>
      </c>
      <c r="AG12" s="766"/>
      <c r="AI12" s="237"/>
      <c r="AJ12" s="237"/>
    </row>
    <row r="13" spans="2:36" ht="15" customHeight="1" thickTop="1" x14ac:dyDescent="0.25">
      <c r="B13" s="6"/>
      <c r="H13" s="1"/>
      <c r="I13" s="185"/>
      <c r="J13" s="187"/>
      <c r="K13" s="26"/>
      <c r="L13" s="92"/>
      <c r="M13" s="186"/>
      <c r="P13" s="362"/>
      <c r="Q13" s="375" t="str">
        <f t="shared" si="0"/>
        <v>Ln13</v>
      </c>
      <c r="R13" s="391"/>
      <c r="S13" s="400" t="s">
        <v>194</v>
      </c>
      <c r="T13" s="391"/>
      <c r="U13" s="391"/>
      <c r="V13" s="392"/>
      <c r="W13" s="393" t="s">
        <v>176</v>
      </c>
      <c r="X13" s="357"/>
      <c r="Y13" s="396" t="s">
        <v>57</v>
      </c>
      <c r="Z13" s="395"/>
      <c r="AC13" s="767" t="s">
        <v>157</v>
      </c>
      <c r="AD13" s="357"/>
      <c r="AH13" s="767" t="s">
        <v>167</v>
      </c>
      <c r="AI13" s="237"/>
      <c r="AJ13" s="237"/>
    </row>
    <row r="14" spans="2:36" ht="15" customHeight="1" thickBot="1" x14ac:dyDescent="0.35">
      <c r="B14" s="3"/>
      <c r="C14" s="235"/>
      <c r="D14" s="2"/>
      <c r="E14" s="2"/>
      <c r="F14" s="40" t="str">
        <f>IF(R20="err","","(Std Fueling "&amp;T19&amp;" gal ("&amp;T20&amp;"))")</f>
        <v>(Std Fueling 40 gal (FULL))</v>
      </c>
      <c r="H14" s="1"/>
      <c r="I14" s="15" t="s">
        <v>6</v>
      </c>
      <c r="J14" s="71">
        <f>SUM(J7:J13)</f>
        <v>2039.6</v>
      </c>
      <c r="K14" s="26"/>
      <c r="L14" s="70">
        <f>SUM(L7:L13)</f>
        <v>81.012910000000005</v>
      </c>
      <c r="M14" s="11" t="str">
        <f>"Max Ramp Weight: "&amp;TEXT(U9,"#,###")&amp;IF(U8&lt;&gt;U10," - Landing "&amp;TEXT(U10,"#,###"),"")</f>
        <v>Max Ramp Weight: 2,557</v>
      </c>
      <c r="P14" s="362"/>
      <c r="Q14" s="375" t="str">
        <f t="shared" si="0"/>
        <v>Ln14</v>
      </c>
      <c r="R14" s="391"/>
      <c r="S14" s="400" t="s">
        <v>24</v>
      </c>
      <c r="T14" s="391"/>
      <c r="U14" s="391"/>
      <c r="V14" s="392"/>
      <c r="W14" s="393" t="s">
        <v>177</v>
      </c>
      <c r="X14" s="357"/>
      <c r="Y14" s="396" t="s">
        <v>156</v>
      </c>
      <c r="Z14" s="395"/>
      <c r="AC14" s="767"/>
      <c r="AD14" s="357"/>
      <c r="AH14" s="767"/>
      <c r="AI14" s="237"/>
      <c r="AJ14" s="237"/>
    </row>
    <row r="15" spans="2:36" ht="15" customHeight="1" thickTop="1" thickBot="1" x14ac:dyDescent="0.3">
      <c r="B15" s="32" t="s">
        <v>88</v>
      </c>
      <c r="C15" s="4"/>
      <c r="D15" s="793"/>
      <c r="E15" s="793"/>
      <c r="F15" s="5" t="s">
        <v>36</v>
      </c>
      <c r="H15" s="1"/>
      <c r="I15" s="16" t="s">
        <v>15</v>
      </c>
      <c r="J15" s="585">
        <f>V21</f>
        <v>-7</v>
      </c>
      <c r="K15" s="69">
        <f>U18</f>
        <v>48</v>
      </c>
      <c r="L15" s="72">
        <f>ROUND((J15*K15)/1000,5)</f>
        <v>-0.33600000000000002</v>
      </c>
      <c r="M15" s="11" t="s">
        <v>16</v>
      </c>
      <c r="P15" s="362"/>
      <c r="Q15" s="375" t="str">
        <f t="shared" si="0"/>
        <v>Ln15</v>
      </c>
      <c r="R15" s="391"/>
      <c r="S15" s="400" t="s">
        <v>193</v>
      </c>
      <c r="T15" s="391"/>
      <c r="U15" s="391"/>
      <c r="V15" s="392"/>
      <c r="W15" s="393" t="s">
        <v>177</v>
      </c>
      <c r="X15" s="357"/>
      <c r="Y15" s="396" t="s">
        <v>47</v>
      </c>
      <c r="Z15" s="388">
        <v>1500</v>
      </c>
      <c r="AC15" s="792"/>
      <c r="AD15" s="357"/>
      <c r="AH15" s="792"/>
      <c r="AI15" s="237"/>
      <c r="AJ15" s="237"/>
    </row>
    <row r="16" spans="2:36" ht="15" customHeight="1" thickTop="1" thickBot="1" x14ac:dyDescent="0.25">
      <c r="B16" s="32" t="s">
        <v>35</v>
      </c>
      <c r="C16" s="2"/>
      <c r="D16" s="794"/>
      <c r="E16" s="795"/>
      <c r="F16" s="5" t="s">
        <v>108</v>
      </c>
      <c r="H16" s="1"/>
      <c r="I16" s="17" t="s">
        <v>7</v>
      </c>
      <c r="J16" s="126">
        <f ca="1">IF(expired=TRUE,9999,SUM(J14:J15))</f>
        <v>2032.6</v>
      </c>
      <c r="K16" s="73" t="s">
        <v>5</v>
      </c>
      <c r="L16" s="74">
        <f>SUM(L14:L15)</f>
        <v>80.676910000000007</v>
      </c>
      <c r="M16" s="110" t="str">
        <f>"Max Gross: "&amp;TEXT(U8,"#,##0")&amp;"   Useful Load: "&amp;TEXT(U37,"#,##0")</f>
        <v>Max Gross: 2,550   Useful Load: 510</v>
      </c>
      <c r="P16" s="362"/>
      <c r="Q16" s="401"/>
      <c r="R16" s="401"/>
      <c r="S16" s="401"/>
      <c r="T16" s="401"/>
      <c r="U16" s="401"/>
      <c r="V16" s="401"/>
      <c r="W16" s="401"/>
      <c r="X16" s="357"/>
      <c r="Y16" s="402"/>
      <c r="Z16" s="395"/>
      <c r="AC16" s="403">
        <f>AC8</f>
        <v>2550</v>
      </c>
      <c r="AD16" s="357"/>
      <c r="AE16" s="404">
        <v>35</v>
      </c>
      <c r="AF16" s="82"/>
      <c r="AG16" s="82"/>
      <c r="AH16" s="405">
        <f>AH8</f>
        <v>47.3</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39.691483813834502</v>
      </c>
      <c r="L17" s="75" t="s">
        <v>5</v>
      </c>
      <c r="M17" s="12" t="s">
        <v>9</v>
      </c>
      <c r="P17" s="362"/>
      <c r="Q17" s="370" t="s">
        <v>158</v>
      </c>
      <c r="R17" s="371"/>
      <c r="S17" s="371"/>
      <c r="T17" s="406" t="s">
        <v>174</v>
      </c>
      <c r="U17" s="372" t="s">
        <v>2</v>
      </c>
      <c r="V17" s="372" t="s">
        <v>118</v>
      </c>
      <c r="W17" s="373" t="s">
        <v>179</v>
      </c>
      <c r="X17" s="357"/>
      <c r="Y17" s="407"/>
      <c r="Z17" s="408"/>
      <c r="AD17" s="357"/>
      <c r="AE17" s="409"/>
      <c r="AF17" s="797" t="s">
        <v>161</v>
      </c>
      <c r="AG17" s="797"/>
      <c r="AH17" s="410"/>
      <c r="AI17" s="237"/>
      <c r="AJ17" s="237"/>
    </row>
    <row r="18" spans="2:36" ht="15" customHeight="1" thickTop="1" thickBot="1" x14ac:dyDescent="0.25">
      <c r="B18" s="32" t="s">
        <v>139</v>
      </c>
      <c r="D18" s="798">
        <f>D16*D17</f>
        <v>0</v>
      </c>
      <c r="E18" s="799"/>
      <c r="F18" s="5" t="s">
        <v>36</v>
      </c>
      <c r="H18" s="1"/>
      <c r="I18" s="23" t="s">
        <v>23</v>
      </c>
      <c r="J18" s="25">
        <f>D18*6*-1</f>
        <v>0</v>
      </c>
      <c r="K18" s="25">
        <f>K8</f>
        <v>48</v>
      </c>
      <c r="L18" s="92">
        <f>ROUND((J18*K18)/1000,5)</f>
        <v>0</v>
      </c>
      <c r="M18" s="29" t="s">
        <v>73</v>
      </c>
      <c r="P18" s="362"/>
      <c r="Q18" s="375" t="str">
        <f t="shared" si="0"/>
        <v>Ln18</v>
      </c>
      <c r="R18" s="384" t="str">
        <f>IF(D15&gt;T18,"ERR","OK")</f>
        <v>OK</v>
      </c>
      <c r="S18" s="548" t="s">
        <v>239</v>
      </c>
      <c r="T18" s="411">
        <v>40</v>
      </c>
      <c r="U18" s="380">
        <v>48</v>
      </c>
      <c r="V18" s="412">
        <f>T18*6</f>
        <v>240</v>
      </c>
      <c r="W18" s="393" t="s">
        <v>176</v>
      </c>
      <c r="X18" s="357"/>
      <c r="Y18" s="357"/>
      <c r="Z18" s="357"/>
      <c r="AA18" s="357"/>
      <c r="AB18" s="357"/>
      <c r="AC18" s="357"/>
      <c r="AD18" s="357"/>
      <c r="AE18" s="357"/>
      <c r="AF18" s="357"/>
      <c r="AG18" s="357"/>
      <c r="AH18" s="35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95">
        <f ca="1">SUM(J16:J18)</f>
        <v>2032.6</v>
      </c>
      <c r="K19" s="93"/>
      <c r="L19" s="24">
        <f>SUM(L16:L18)</f>
        <v>80.676910000000007</v>
      </c>
      <c r="M19" s="29" t="str">
        <f>IF(U8=U10,"Landing Weight Limit same as Takeoff Weight","Max Landing Weight  "&amp;TEXT(U10,"#,##0"))</f>
        <v>Landing Weight Limit same as Takeoff Weight</v>
      </c>
      <c r="P19" s="362"/>
      <c r="Q19" s="375" t="str">
        <f t="shared" si="0"/>
        <v>Ln19</v>
      </c>
      <c r="R19" s="391"/>
      <c r="S19" s="549" t="s">
        <v>240</v>
      </c>
      <c r="T19" s="411">
        <v>40</v>
      </c>
      <c r="U19" s="413"/>
      <c r="V19" s="412">
        <f>T19*6</f>
        <v>240</v>
      </c>
      <c r="W19" s="357"/>
      <c r="X19" s="357"/>
      <c r="Y19" s="357"/>
      <c r="Z19" s="357"/>
      <c r="AA19" s="414" t="str">
        <f ca="1">IF(AA20&gt;U8,"OUT","OK")</f>
        <v>OK</v>
      </c>
      <c r="AB19" s="415" t="s">
        <v>164</v>
      </c>
      <c r="AC19" s="357"/>
      <c r="AD19" s="357"/>
      <c r="AE19" s="414" t="str">
        <f ca="1">IF(AA19="out","out",IF(AND(AE20&gt;=AG20,AE20&lt;=AH20),"OK","OUT"))</f>
        <v>OK</v>
      </c>
      <c r="AF19" s="357"/>
      <c r="AG19" s="357"/>
      <c r="AH19" s="357"/>
      <c r="AI19" s="237"/>
      <c r="AJ19" s="237"/>
    </row>
    <row r="20" spans="2:36" ht="15" customHeight="1" thickTop="1" thickBot="1" x14ac:dyDescent="0.25">
      <c r="B20" s="135" t="s">
        <v>132</v>
      </c>
      <c r="I20" s="28" t="s">
        <v>8</v>
      </c>
      <c r="J20" s="94"/>
      <c r="K20" s="96">
        <f ca="1">(L19*1000)/J19</f>
        <v>39.691483813834502</v>
      </c>
      <c r="L20" s="76"/>
      <c r="M20" s="30" t="s">
        <v>65</v>
      </c>
      <c r="P20" s="362"/>
      <c r="Q20" s="375" t="str">
        <f t="shared" si="0"/>
        <v>Ln20</v>
      </c>
      <c r="R20" s="83" t="str">
        <f>IF(AND(T18=T19,LEFT(T20,1)="F"),"OK",IF(AND(T18&lt;&gt;T19,LEFT(T20,1)&lt;&gt;"F"),"OK","ERR"))</f>
        <v>OK</v>
      </c>
      <c r="S20" s="547" t="s">
        <v>188</v>
      </c>
      <c r="T20" s="546" t="s">
        <v>189</v>
      </c>
      <c r="U20" s="397" t="s">
        <v>190</v>
      </c>
      <c r="V20" s="412"/>
      <c r="W20" s="392"/>
      <c r="X20" s="357"/>
      <c r="Y20" s="416" t="s">
        <v>47</v>
      </c>
      <c r="Z20" s="417" t="s">
        <v>1</v>
      </c>
      <c r="AA20" s="418">
        <f ca="1">J16</f>
        <v>2032.6</v>
      </c>
      <c r="AB20" s="419"/>
      <c r="AC20" s="420"/>
      <c r="AD20" s="421" t="s">
        <v>40</v>
      </c>
      <c r="AE20" s="422">
        <f ca="1">K17</f>
        <v>39.691483813834502</v>
      </c>
      <c r="AF20" s="423" t="s">
        <v>61</v>
      </c>
      <c r="AG20" s="424">
        <f ca="1">VLOOKUP(AA20,Z23:AH26,8,TRUE)</f>
        <v>35.843462000000002</v>
      </c>
      <c r="AH20" s="425">
        <f ca="1">VLOOKUP(AA20,Z23:AH26,9,TRUE)</f>
        <v>47.3</v>
      </c>
      <c r="AI20" s="237"/>
      <c r="AJ20" s="237"/>
    </row>
    <row r="21" spans="2:36" ht="13.5" thickTop="1" x14ac:dyDescent="0.2">
      <c r="B21" s="770" t="str">
        <f>IF(R10&lt;&gt;"OK","Caution - Landing Weight",IF(R11&lt;&gt;"OK","Watch Early Landing Weight",""))</f>
        <v/>
      </c>
      <c r="C21" s="772" t="str">
        <f ca="1">IF(OR(AA19="out",AE19="out"),"CAUTION:   Wt or CG Out of Limits","")</f>
        <v/>
      </c>
      <c r="D21" s="772"/>
      <c r="E21" s="772"/>
      <c r="F21" s="773"/>
      <c r="P21" s="362"/>
      <c r="Q21" s="375" t="str">
        <f t="shared" si="0"/>
        <v>Ln21</v>
      </c>
      <c r="R21" s="391"/>
      <c r="S21" s="548" t="s">
        <v>191</v>
      </c>
      <c r="T21" s="411">
        <v>1.1000000000000001</v>
      </c>
      <c r="U21" s="413"/>
      <c r="V21" s="412">
        <f>ROUND(T21*6,0)*-1</f>
        <v>-7</v>
      </c>
      <c r="W21" s="357"/>
      <c r="X21" s="357"/>
      <c r="Y21" s="426" t="s">
        <v>48</v>
      </c>
      <c r="Z21" s="427"/>
      <c r="AA21" s="428" t="s">
        <v>67</v>
      </c>
      <c r="AB21" s="429"/>
      <c r="AC21" s="430"/>
      <c r="AD21" s="427"/>
      <c r="AE21" s="431" t="s">
        <v>66</v>
      </c>
      <c r="AF21" s="427"/>
      <c r="AG21" s="432" t="s">
        <v>46</v>
      </c>
      <c r="AH21" s="433" t="s">
        <v>46</v>
      </c>
      <c r="AI21" s="237"/>
      <c r="AJ21" s="237"/>
    </row>
    <row r="22" spans="2:36" ht="13.5" thickBot="1" x14ac:dyDescent="0.25">
      <c r="B22" s="771"/>
      <c r="C22" s="774"/>
      <c r="D22" s="774"/>
      <c r="E22" s="774"/>
      <c r="F22" s="775"/>
      <c r="P22" s="358"/>
      <c r="Q22" s="357"/>
      <c r="R22" s="391"/>
      <c r="S22" s="550" t="s">
        <v>15</v>
      </c>
      <c r="T22" s="391"/>
      <c r="U22" s="392"/>
      <c r="V22" s="391"/>
      <c r="W22" s="393" t="s">
        <v>177</v>
      </c>
      <c r="X22" s="357"/>
      <c r="Y22" s="426" t="s">
        <v>49</v>
      </c>
      <c r="Z22" s="434" t="s">
        <v>41</v>
      </c>
      <c r="AA22" s="434" t="s">
        <v>42</v>
      </c>
      <c r="AB22" s="435" t="s">
        <v>43</v>
      </c>
      <c r="AC22" s="436" t="s">
        <v>41</v>
      </c>
      <c r="AD22" s="437" t="s">
        <v>42</v>
      </c>
      <c r="AE22" s="438" t="s">
        <v>44</v>
      </c>
      <c r="AF22" s="439" t="s">
        <v>45</v>
      </c>
      <c r="AG22" s="440" t="s">
        <v>68</v>
      </c>
      <c r="AH22" s="441" t="s">
        <v>69</v>
      </c>
      <c r="AI22" s="237"/>
      <c r="AJ22" s="237"/>
    </row>
    <row r="23" spans="2:36" ht="13.5" thickTop="1" x14ac:dyDescent="0.2">
      <c r="B23" s="34" t="str">
        <f>IF(AND(R52&lt;&gt;"OK",R48&lt;&gt;"OK"),"Enter Fuel on Board","")</f>
        <v/>
      </c>
      <c r="C23" s="776" t="str">
        <f>IF(R53&lt;&gt;"OK","Fuel &lt;1-HR Reserve","")</f>
        <v/>
      </c>
      <c r="D23" s="776"/>
      <c r="E23" s="776"/>
      <c r="F23" s="777"/>
      <c r="I23" s="10" t="s">
        <v>64</v>
      </c>
      <c r="P23" s="358"/>
      <c r="Q23" s="401"/>
      <c r="R23" s="391"/>
      <c r="S23" s="550" t="s">
        <v>23</v>
      </c>
      <c r="T23" s="391"/>
      <c r="U23" s="392"/>
      <c r="V23" s="391"/>
      <c r="W23" s="393" t="s">
        <v>177</v>
      </c>
      <c r="X23" s="357"/>
      <c r="Y23" s="426" t="s">
        <v>50</v>
      </c>
      <c r="Z23" s="442">
        <f>Z15</f>
        <v>1500</v>
      </c>
      <c r="AA23" s="443">
        <f>Z12</f>
        <v>1948</v>
      </c>
      <c r="AB23" s="444">
        <f>+AA23-Z23</f>
        <v>448</v>
      </c>
      <c r="AC23" s="445">
        <f>AE16</f>
        <v>35</v>
      </c>
      <c r="AD23" s="446">
        <f>AE12</f>
        <v>35</v>
      </c>
      <c r="AE23" s="447">
        <f>AD23-AC23</f>
        <v>0</v>
      </c>
      <c r="AF23" s="448">
        <f>IF(OR(AB23=0,AE23=0),0,ROUND(AE23/AB23,5))</f>
        <v>0</v>
      </c>
      <c r="AG23" s="449">
        <f ca="1">IF(AND(AA20&gt;=Z23,AA20&lt;AA23),AC23+((AA20-Z23)*AF23),AC23)</f>
        <v>35</v>
      </c>
      <c r="AH23" s="450">
        <f>AD26</f>
        <v>47.3</v>
      </c>
      <c r="AI23" s="237"/>
      <c r="AJ23" s="237"/>
    </row>
    <row r="24" spans="2:36" ht="12.75" customHeight="1" x14ac:dyDescent="0.2">
      <c r="B24" s="77" t="str">
        <f>IF(AND(R52&lt;&gt;"OK",R49&lt;&gt;"OK"),"Enter GPH Usage","")</f>
        <v/>
      </c>
      <c r="C24" s="778" t="str">
        <f>IF(OR(R18&lt;&gt;"OK",R51&lt;&gt;"OK"),"Fueling Error","")</f>
        <v/>
      </c>
      <c r="D24" s="778"/>
      <c r="E24" s="778"/>
      <c r="F24" s="779"/>
      <c r="I24" s="9" t="s">
        <v>62</v>
      </c>
      <c r="P24" s="358"/>
      <c r="Q24" s="401"/>
      <c r="R24" s="401"/>
      <c r="S24" s="401"/>
      <c r="T24" s="401"/>
      <c r="U24" s="401"/>
      <c r="V24" s="401"/>
      <c r="W24" s="401"/>
      <c r="X24" s="357"/>
      <c r="Y24" s="426" t="s">
        <v>51</v>
      </c>
      <c r="Z24" s="451">
        <f>AA23</f>
        <v>1948</v>
      </c>
      <c r="AA24" s="452">
        <f>AA8</f>
        <v>2550</v>
      </c>
      <c r="AB24" s="453">
        <f>+AA24-Z24</f>
        <v>602</v>
      </c>
      <c r="AC24" s="454">
        <f>IF(AD24=AD23,AC23,AD23)</f>
        <v>35</v>
      </c>
      <c r="AD24" s="455">
        <f>AF8</f>
        <v>41</v>
      </c>
      <c r="AE24" s="447">
        <f>AD24-AC24</f>
        <v>6</v>
      </c>
      <c r="AF24" s="448">
        <f>IF(OR(AB24=0,AE24=0),0,ROUND(AE24/AB24,5))</f>
        <v>9.9699999999999997E-3</v>
      </c>
      <c r="AG24" s="449">
        <f ca="1">IF(AND(AA20&gt;=Z24,AA20&lt;AA24),AC24+((AA20-Z24)*AF24),AC24)</f>
        <v>35.843462000000002</v>
      </c>
      <c r="AH24" s="213">
        <f>AH23</f>
        <v>47.3</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358"/>
      <c r="Q25" s="370" t="s">
        <v>159</v>
      </c>
      <c r="R25" s="371"/>
      <c r="S25" s="371"/>
      <c r="T25" s="371"/>
      <c r="U25" s="372" t="s">
        <v>2</v>
      </c>
      <c r="V25" s="372" t="s">
        <v>1</v>
      </c>
      <c r="W25" s="373" t="s">
        <v>179</v>
      </c>
      <c r="X25" s="357"/>
      <c r="Y25" s="426" t="s">
        <v>52</v>
      </c>
      <c r="Z25" s="451">
        <f>AA24</f>
        <v>2550</v>
      </c>
      <c r="AA25" s="452">
        <f>AC8</f>
        <v>2550</v>
      </c>
      <c r="AB25" s="453">
        <f>+AA25-Z25</f>
        <v>0</v>
      </c>
      <c r="AC25" s="454">
        <f>IF(AD25=AD24,AC24,AD24)</f>
        <v>41</v>
      </c>
      <c r="AD25" s="455">
        <f>AH8</f>
        <v>47.3</v>
      </c>
      <c r="AE25" s="447">
        <f>AD25-AC25</f>
        <v>6.2999999999999972</v>
      </c>
      <c r="AF25" s="448">
        <f>IF(OR(AB25=0,AE25=0),0,ROUND(AE25/AB25,5))</f>
        <v>0</v>
      </c>
      <c r="AG25" s="449">
        <f ca="1">IF(AND(AA20&gt;=Z25,AA20&lt;AA25),AC25+((AA20-Z25)*AF25),AC25)</f>
        <v>41</v>
      </c>
      <c r="AH25" s="213">
        <f>AH24</f>
        <v>47.3</v>
      </c>
      <c r="AI25" s="237"/>
      <c r="AJ25" s="237"/>
    </row>
    <row r="26" spans="2:36" ht="13.5" thickTop="1" x14ac:dyDescent="0.2">
      <c r="I26" s="8" t="str">
        <f>"R Front:  "&amp;IF(E7=0,"---",E7&amp;"#")</f>
        <v>R Front:  ---</v>
      </c>
      <c r="P26" s="358"/>
      <c r="Q26" s="375" t="str">
        <f t="shared" si="0"/>
        <v>Ln26</v>
      </c>
      <c r="R26" s="391"/>
      <c r="S26" s="456" t="s">
        <v>11</v>
      </c>
      <c r="T26" s="378"/>
      <c r="U26" s="380">
        <v>37</v>
      </c>
      <c r="V26" s="412">
        <f>C7+E7</f>
        <v>0</v>
      </c>
      <c r="W26" s="457"/>
      <c r="X26" s="357"/>
      <c r="Y26" s="458" t="s">
        <v>52</v>
      </c>
      <c r="Z26" s="459">
        <f>AA25</f>
        <v>2550</v>
      </c>
      <c r="AA26" s="460">
        <f>AC16</f>
        <v>2550</v>
      </c>
      <c r="AB26" s="461">
        <f>+AA26-Z26</f>
        <v>0</v>
      </c>
      <c r="AC26" s="462">
        <f>IF(AD26=AD25,AC25,AD25)</f>
        <v>41</v>
      </c>
      <c r="AD26" s="463">
        <f>AH16</f>
        <v>47.3</v>
      </c>
      <c r="AE26" s="464">
        <f>AD26-AC26</f>
        <v>6.2999999999999972</v>
      </c>
      <c r="AF26" s="465">
        <f>IF(OR(AB26=0,AE26=0),0,ROUND(AE26/AB26,5))</f>
        <v>0</v>
      </c>
      <c r="AG26" s="466">
        <f ca="1">IF(AND(AA20&gt;=Z26,AA20&lt;AA26),AC26+((AA20-Z26)*AF26),AC26)</f>
        <v>41</v>
      </c>
      <c r="AH26" s="217">
        <f>AH25</f>
        <v>47.3</v>
      </c>
      <c r="AI26" s="237"/>
      <c r="AJ26" s="237"/>
    </row>
    <row r="27" spans="2:36" ht="12.75" customHeight="1" x14ac:dyDescent="0.2">
      <c r="B27" s="60" t="s">
        <v>79</v>
      </c>
      <c r="H27" s="1"/>
      <c r="I27" s="8" t="str">
        <f>"L  Rear:  "&amp;IF(C9=0,"---",C9&amp;"#")</f>
        <v>L  Rear:  ---</v>
      </c>
      <c r="P27" s="358"/>
      <c r="Q27" s="375" t="str">
        <f t="shared" si="0"/>
        <v>Ln27</v>
      </c>
      <c r="R27" s="391"/>
      <c r="S27" s="456" t="s">
        <v>12</v>
      </c>
      <c r="T27" s="378"/>
      <c r="U27" s="380">
        <v>73</v>
      </c>
      <c r="V27" s="412">
        <f>C9+E9</f>
        <v>0</v>
      </c>
      <c r="W27" s="457"/>
      <c r="X27" s="357"/>
      <c r="Y27" s="357"/>
      <c r="Z27" s="357"/>
      <c r="AA27" s="357"/>
      <c r="AB27" s="357"/>
      <c r="AC27" s="357"/>
      <c r="AD27" s="357"/>
      <c r="AE27" s="357"/>
      <c r="AF27" s="357"/>
      <c r="AG27" s="357"/>
      <c r="AH27" s="357"/>
      <c r="AI27" s="237"/>
      <c r="AJ27" s="237"/>
    </row>
    <row r="28" spans="2:36" ht="13.5" thickBot="1" x14ac:dyDescent="0.25">
      <c r="B28" s="22" t="s">
        <v>127</v>
      </c>
      <c r="D28" s="782">
        <f>U37+(J15*-1)</f>
        <v>517</v>
      </c>
      <c r="E28" s="783"/>
      <c r="F28" s="784" t="str">
        <f>"( "&amp;TEXT(U37,"#,##0")&amp;"+"&amp;J15*-1&amp;" )"</f>
        <v>( 510+7 )</v>
      </c>
      <c r="G28" s="785"/>
      <c r="H28" s="785"/>
      <c r="I28" s="8" t="str">
        <f>"R  Rear:  "&amp;IF(E9=0,"---",E9&amp;"#")</f>
        <v>R  Rear:  ---</v>
      </c>
      <c r="P28" s="358"/>
      <c r="Q28" s="357"/>
      <c r="R28" s="357"/>
      <c r="S28" s="357"/>
      <c r="T28" s="357"/>
      <c r="U28" s="413"/>
      <c r="V28" s="413"/>
      <c r="W28" s="357"/>
      <c r="X28" s="357"/>
      <c r="Y28" s="357"/>
      <c r="Z28" s="357"/>
      <c r="AA28" s="357"/>
      <c r="AB28" s="357"/>
      <c r="AC28" s="357"/>
      <c r="AD28" s="357"/>
      <c r="AE28" s="357"/>
      <c r="AF28" s="357"/>
      <c r="AG28" s="357"/>
      <c r="AH28" s="357"/>
      <c r="AI28" s="237"/>
      <c r="AJ28" s="237"/>
    </row>
    <row r="29" spans="2:36" ht="13.5" thickBot="1" x14ac:dyDescent="0.25">
      <c r="B29" s="22" t="s">
        <v>126</v>
      </c>
      <c r="D29" s="786">
        <f>SUM(J8:J13)</f>
        <v>0</v>
      </c>
      <c r="E29" s="787"/>
      <c r="I29" s="8" t="str">
        <f>"Bag 1:  "&amp;IF(C11=0,"---",C11&amp;"#")</f>
        <v>Bag 1:  ---</v>
      </c>
      <c r="P29" s="358"/>
      <c r="Q29" s="375" t="str">
        <f t="shared" si="0"/>
        <v>Ln29</v>
      </c>
      <c r="R29" s="467" t="str">
        <f>IF(C11&gt;V29,"ERR","OK")</f>
        <v>OK</v>
      </c>
      <c r="S29" s="456" t="s">
        <v>25</v>
      </c>
      <c r="T29" s="378"/>
      <c r="U29" s="380">
        <v>95</v>
      </c>
      <c r="V29" s="468">
        <v>120</v>
      </c>
      <c r="W29" s="393" t="s">
        <v>176</v>
      </c>
      <c r="X29" s="357"/>
      <c r="Y29" s="357"/>
      <c r="Z29" s="357"/>
      <c r="AA29" s="357"/>
      <c r="AB29" s="357"/>
      <c r="AC29" s="357"/>
      <c r="AD29" s="357"/>
      <c r="AE29" s="357"/>
      <c r="AF29" s="357"/>
      <c r="AG29" s="357"/>
      <c r="AH29" s="357"/>
      <c r="AI29" s="237"/>
      <c r="AJ29" s="237"/>
    </row>
    <row r="30" spans="2:36" ht="15.75" x14ac:dyDescent="0.3">
      <c r="B30" s="22" t="str">
        <f>IF(D29&lt;=D28,"Lbs before overweight","OVERWEIGHT")</f>
        <v>Lbs before overweight</v>
      </c>
      <c r="D30" s="788">
        <f>ABS(D28-D29)</f>
        <v>517</v>
      </c>
      <c r="E30" s="789"/>
      <c r="F30" s="790" t="str">
        <f>IF(D29&gt;D28,"# Over","")</f>
        <v/>
      </c>
      <c r="G30" s="791"/>
      <c r="H30" s="791"/>
      <c r="I30" s="8" t="str">
        <f>"Bag 2:  "&amp;IF(C12=0,"---",C12&amp;"#")</f>
        <v>Bag 2:  ---</v>
      </c>
      <c r="P30" s="358"/>
      <c r="Q30" s="375" t="str">
        <f t="shared" si="0"/>
        <v>Ln30</v>
      </c>
      <c r="R30" s="467" t="str">
        <f>IF(C12&gt;V30,"ERR","OK")</f>
        <v>OK</v>
      </c>
      <c r="S30" s="456" t="s">
        <v>26</v>
      </c>
      <c r="T30" s="469"/>
      <c r="U30" s="380">
        <v>123</v>
      </c>
      <c r="V30" s="468">
        <v>50</v>
      </c>
      <c r="W30" s="393" t="s">
        <v>176</v>
      </c>
      <c r="X30" s="357"/>
      <c r="Y30" s="357"/>
      <c r="Z30" s="472"/>
      <c r="AA30" s="473"/>
      <c r="AB30" s="474" t="s">
        <v>165</v>
      </c>
      <c r="AC30" s="371"/>
      <c r="AD30" s="371"/>
      <c r="AE30" s="371"/>
      <c r="AF30" s="371"/>
      <c r="AG30" s="371"/>
      <c r="AH30" s="357"/>
      <c r="AI30" s="237"/>
      <c r="AJ30" s="237"/>
    </row>
    <row r="31" spans="2:36" ht="15.75" thickBot="1" x14ac:dyDescent="0.3">
      <c r="P31" s="358"/>
      <c r="Q31" s="375" t="str">
        <f t="shared" si="0"/>
        <v>Ln31</v>
      </c>
      <c r="R31" s="467" t="str">
        <f>IF(C11+C12&gt;V31,"ERR","OK")</f>
        <v>OK</v>
      </c>
      <c r="S31" s="470" t="s">
        <v>30</v>
      </c>
      <c r="T31" s="469"/>
      <c r="U31" s="471"/>
      <c r="V31" s="468">
        <v>120</v>
      </c>
      <c r="W31" s="357"/>
      <c r="X31" s="357"/>
      <c r="Y31" s="357"/>
      <c r="Z31" s="357"/>
      <c r="AA31" s="357"/>
      <c r="AB31" s="357"/>
      <c r="AC31" s="382" t="s">
        <v>162</v>
      </c>
      <c r="AD31" s="357"/>
      <c r="AE31" s="357"/>
      <c r="AF31" s="357"/>
      <c r="AG31" s="473"/>
      <c r="AH31" s="357"/>
      <c r="AI31" s="237"/>
      <c r="AJ31" s="237"/>
    </row>
    <row r="32" spans="2:36" ht="13.5" thickTop="1" x14ac:dyDescent="0.2">
      <c r="I32" s="8"/>
      <c r="P32" s="358"/>
      <c r="Q32" s="375" t="str">
        <f t="shared" si="0"/>
        <v>Ln32</v>
      </c>
      <c r="R32" s="391"/>
      <c r="S32" s="475" t="s">
        <v>152</v>
      </c>
      <c r="T32" s="391"/>
      <c r="U32" s="471"/>
      <c r="V32" s="471"/>
      <c r="W32" s="357"/>
      <c r="X32" s="357"/>
      <c r="Y32" s="476"/>
      <c r="Z32" s="477"/>
      <c r="AA32" s="478">
        <v>2550</v>
      </c>
      <c r="AC32" s="403">
        <f>AA32</f>
        <v>2550</v>
      </c>
      <c r="AD32" s="357"/>
      <c r="AF32" s="479">
        <v>41</v>
      </c>
      <c r="AH32" s="390">
        <v>47.3</v>
      </c>
      <c r="AI32" s="237"/>
      <c r="AJ32" s="237"/>
    </row>
    <row r="33" spans="8:36" x14ac:dyDescent="0.2">
      <c r="I33" s="9" t="s">
        <v>63</v>
      </c>
      <c r="P33" s="358"/>
      <c r="Q33" s="375" t="str">
        <f t="shared" si="0"/>
        <v>Ln33</v>
      </c>
      <c r="R33" s="391"/>
      <c r="S33" s="475" t="s">
        <v>152</v>
      </c>
      <c r="T33" s="391"/>
      <c r="U33" s="471"/>
      <c r="V33" s="471"/>
      <c r="W33" s="357"/>
      <c r="X33" s="357"/>
      <c r="Y33" s="480"/>
      <c r="Z33" s="82"/>
      <c r="AD33" s="357"/>
      <c r="AI33" s="237"/>
      <c r="AJ33" s="237"/>
    </row>
    <row r="34" spans="8:36" ht="13.5" x14ac:dyDescent="0.25">
      <c r="I34" s="10" t="str">
        <f>"Start:  "&amp;TEXT(D15,("###.0"))&amp;" USG"</f>
        <v>Start:  .0 USG</v>
      </c>
      <c r="P34" s="358"/>
      <c r="Q34" s="375" t="str">
        <f t="shared" si="0"/>
        <v>Ln34</v>
      </c>
      <c r="R34" s="391"/>
      <c r="S34" s="475" t="s">
        <v>152</v>
      </c>
      <c r="T34" s="391"/>
      <c r="U34" s="471"/>
      <c r="V34" s="471"/>
      <c r="W34" s="357"/>
      <c r="X34" s="357"/>
      <c r="Y34" s="481" t="s">
        <v>155</v>
      </c>
      <c r="Z34" s="82"/>
      <c r="AD34" s="357"/>
      <c r="AI34" s="237"/>
      <c r="AJ34" s="237"/>
    </row>
    <row r="35" spans="8:36" ht="13.5" x14ac:dyDescent="0.25">
      <c r="I35" s="10" t="str">
        <f>"Used:    "&amp;TEXT(D18,("###.0"))&amp;" USG"</f>
        <v>Used:    .0 USG</v>
      </c>
      <c r="P35" s="358"/>
      <c r="Q35" s="357"/>
      <c r="R35" s="357"/>
      <c r="S35" s="357"/>
      <c r="T35" s="357"/>
      <c r="U35" s="357"/>
      <c r="V35" s="357"/>
      <c r="W35" s="357"/>
      <c r="X35" s="357"/>
      <c r="Y35" s="481" t="s">
        <v>50</v>
      </c>
      <c r="Z35" s="82"/>
      <c r="AA35" s="766" t="s">
        <v>1</v>
      </c>
      <c r="AB35" s="766"/>
      <c r="AD35" s="357"/>
      <c r="AF35" s="766" t="s">
        <v>154</v>
      </c>
      <c r="AG35" s="766"/>
      <c r="AI35" s="237"/>
      <c r="AJ35" s="237"/>
    </row>
    <row r="36" spans="8:36" ht="13.5" x14ac:dyDescent="0.25">
      <c r="I36" s="10" t="str">
        <f>"Reserve:  "&amp;TEXT(D15-D18,"###.0")&amp;" USG"</f>
        <v>Reserve:  .0 USG</v>
      </c>
      <c r="P36" s="358"/>
      <c r="Q36" s="370" t="s">
        <v>160</v>
      </c>
      <c r="R36" s="371"/>
      <c r="S36" s="371"/>
      <c r="T36" s="371"/>
      <c r="U36" s="482" t="s">
        <v>1</v>
      </c>
      <c r="V36" s="357"/>
      <c r="W36" s="357"/>
      <c r="X36" s="357"/>
      <c r="Y36" s="481" t="s">
        <v>56</v>
      </c>
      <c r="Z36" s="478">
        <v>1948</v>
      </c>
      <c r="AA36" s="766" t="s">
        <v>153</v>
      </c>
      <c r="AB36" s="766"/>
      <c r="AD36" s="357"/>
      <c r="AE36" s="628">
        <f>AE40</f>
        <v>35</v>
      </c>
      <c r="AF36" s="766" t="s">
        <v>153</v>
      </c>
      <c r="AG36" s="766"/>
      <c r="AI36" s="237"/>
      <c r="AJ36" s="237"/>
    </row>
    <row r="37" spans="8:36" ht="13.5" x14ac:dyDescent="0.25">
      <c r="P37" s="358"/>
      <c r="Q37" s="375" t="str">
        <f t="shared" ref="Q37:Q39" si="1">"Ln"&amp;ROW()</f>
        <v>Ln37</v>
      </c>
      <c r="R37" s="484"/>
      <c r="S37" s="400" t="s">
        <v>77</v>
      </c>
      <c r="T37" s="485"/>
      <c r="U37" s="486">
        <f>ROUNDDOWN(U8-U7,0)</f>
        <v>510</v>
      </c>
      <c r="V37" s="357"/>
      <c r="W37" s="357"/>
      <c r="X37" s="357"/>
      <c r="Y37" s="481" t="s">
        <v>57</v>
      </c>
      <c r="Z37" s="82"/>
      <c r="AC37" s="767" t="s">
        <v>157</v>
      </c>
      <c r="AD37" s="357"/>
      <c r="AH37" s="767" t="s">
        <v>157</v>
      </c>
      <c r="AI37" s="237"/>
      <c r="AJ37" s="237"/>
    </row>
    <row r="38" spans="8:36" ht="13.5" x14ac:dyDescent="0.25">
      <c r="I38" s="9" t="s">
        <v>72</v>
      </c>
      <c r="P38" s="358"/>
      <c r="Q38" s="375" t="str">
        <f t="shared" si="1"/>
        <v>Ln38</v>
      </c>
      <c r="R38" s="484"/>
      <c r="S38" s="400" t="s">
        <v>76</v>
      </c>
      <c r="T38" s="485"/>
      <c r="U38" s="486">
        <f>IF(T19=0,"",U37-V19)</f>
        <v>270</v>
      </c>
      <c r="V38" s="357"/>
      <c r="W38" s="357"/>
      <c r="X38" s="357"/>
      <c r="Y38" s="481" t="s">
        <v>156</v>
      </c>
      <c r="Z38" s="82"/>
      <c r="AC38" s="767"/>
      <c r="AD38" s="357"/>
      <c r="AH38" s="767"/>
      <c r="AI38" s="237"/>
      <c r="AJ38" s="237"/>
    </row>
    <row r="39" spans="8:36" ht="13.5" x14ac:dyDescent="0.25">
      <c r="H39" s="7"/>
      <c r="I39" s="63" t="str">
        <f>IF(T42="","","Max Flight (NO Res)")</f>
        <v/>
      </c>
      <c r="P39" s="358"/>
      <c r="Q39" s="375" t="str">
        <f t="shared" si="1"/>
        <v>Ln39</v>
      </c>
      <c r="R39" s="484"/>
      <c r="S39" s="400" t="s">
        <v>78</v>
      </c>
      <c r="T39" s="487"/>
      <c r="U39" s="486">
        <f>U37-V18</f>
        <v>270</v>
      </c>
      <c r="V39" s="357"/>
      <c r="W39" s="357"/>
      <c r="X39" s="357"/>
      <c r="Y39" s="481" t="s">
        <v>47</v>
      </c>
      <c r="Z39" s="82"/>
      <c r="AC39" s="768"/>
      <c r="AD39" s="357"/>
      <c r="AH39" s="768"/>
      <c r="AI39" s="237"/>
      <c r="AJ39" s="237"/>
    </row>
    <row r="40" spans="8:36" x14ac:dyDescent="0.2">
      <c r="H40" s="7"/>
      <c r="I40" s="21" t="str">
        <f>IF(T42="","","~"&amp;TEXT(T42,("##.0"))&amp;" hrs")</f>
        <v/>
      </c>
      <c r="P40" s="358"/>
      <c r="Q40" s="357"/>
      <c r="R40" s="357"/>
      <c r="S40" s="357"/>
      <c r="T40" s="413"/>
      <c r="U40" s="413"/>
      <c r="V40" s="357"/>
      <c r="W40" s="357"/>
      <c r="X40" s="357"/>
      <c r="Y40" s="480"/>
      <c r="Z40" s="478">
        <v>1500</v>
      </c>
      <c r="AC40" s="403">
        <f>AC32</f>
        <v>2550</v>
      </c>
      <c r="AD40" s="357"/>
      <c r="AE40" s="489">
        <v>35</v>
      </c>
      <c r="AF40" s="82"/>
      <c r="AG40" s="82"/>
      <c r="AH40" s="490">
        <f>AH32</f>
        <v>47.3</v>
      </c>
      <c r="AI40" s="242"/>
      <c r="AJ40" s="242"/>
    </row>
    <row r="41" spans="8:36" ht="14.25" thickBot="1" x14ac:dyDescent="0.3">
      <c r="I41" s="61" t="str">
        <f>IF(T42="","","@ "&amp;TEXT(D16,"##.0")&amp;" GPH")</f>
        <v/>
      </c>
      <c r="P41" s="358"/>
      <c r="Q41" s="370" t="s">
        <v>119</v>
      </c>
      <c r="R41" s="371"/>
      <c r="S41" s="482"/>
      <c r="T41" s="488" t="s">
        <v>121</v>
      </c>
      <c r="U41" s="413"/>
      <c r="V41" s="357"/>
      <c r="W41" s="357"/>
      <c r="X41" s="357"/>
      <c r="Y41" s="494"/>
      <c r="Z41" s="495"/>
      <c r="AD41" s="357"/>
      <c r="AE41" s="496"/>
      <c r="AF41" s="769" t="s">
        <v>161</v>
      </c>
      <c r="AG41" s="769"/>
      <c r="AH41" s="497"/>
      <c r="AI41" s="237"/>
      <c r="AJ41" s="237"/>
    </row>
    <row r="42" spans="8:36" ht="13.5" thickTop="1" x14ac:dyDescent="0.2">
      <c r="I42" s="65" t="str">
        <f>IF(R52&lt;&gt;"OK","","  At end of ")</f>
        <v/>
      </c>
      <c r="P42" s="358"/>
      <c r="Q42" s="375" t="str">
        <f t="shared" ref="Q42:Q43" si="2">"Ln"&amp;ROW()</f>
        <v>Ln42</v>
      </c>
      <c r="R42" s="491" t="s">
        <v>91</v>
      </c>
      <c r="S42" s="492"/>
      <c r="T42" s="493" t="str">
        <f>IF(AND(D15&gt;0,D18&gt;0),ROUND(D15/D16,3),"")</f>
        <v/>
      </c>
      <c r="U42" s="413"/>
      <c r="V42" s="357"/>
      <c r="W42" s="357"/>
      <c r="X42" s="357"/>
      <c r="Y42" s="357"/>
      <c r="Z42" s="357"/>
      <c r="AA42" s="357"/>
      <c r="AB42" s="357"/>
      <c r="AC42" s="357"/>
      <c r="AD42" s="357"/>
      <c r="AE42" s="357"/>
      <c r="AF42" s="357"/>
      <c r="AG42" s="357"/>
      <c r="AH42" s="357"/>
      <c r="AI42" s="237"/>
      <c r="AJ42" s="237"/>
    </row>
    <row r="43" spans="8:36" ht="13.5" thickBot="1" x14ac:dyDescent="0.25">
      <c r="I43" s="66" t="str">
        <f>IF(R52&lt;&gt;"OK","",TEXT(D17,"##.0")&amp;" Hr Trip . . ")</f>
        <v/>
      </c>
      <c r="P43" s="358"/>
      <c r="Q43" s="375" t="str">
        <f t="shared" si="2"/>
        <v>Ln43</v>
      </c>
      <c r="R43" s="491" t="s">
        <v>95</v>
      </c>
      <c r="S43" s="492"/>
      <c r="T43" s="493" t="str">
        <f>IF(AND(D15&gt;0,D16&gt;0,D18&gt;0),ROUND((D15-D18)/D16,3),"")</f>
        <v/>
      </c>
      <c r="U43" s="413"/>
      <c r="V43" s="357"/>
      <c r="W43" s="357"/>
      <c r="X43" s="357"/>
      <c r="Y43" s="357"/>
      <c r="Z43" s="357"/>
      <c r="AA43" s="498" t="str">
        <f>IF(U8=U10,"OK",IF(AA44&gt;U10,"OUT","OK"))</f>
        <v>OK</v>
      </c>
      <c r="AB43" s="415" t="s">
        <v>164</v>
      </c>
      <c r="AC43" s="357"/>
      <c r="AD43" s="357"/>
      <c r="AE43" s="498" t="str">
        <f>IF(U8=U10,"OK",IF(AND(AE44&gt;=AG44,AE44&lt;=AH44),"OK","OUT"))</f>
        <v>OK</v>
      </c>
      <c r="AF43" s="357"/>
      <c r="AG43" s="357"/>
      <c r="AH43" s="357"/>
      <c r="AI43" s="237"/>
      <c r="AJ43" s="237"/>
    </row>
    <row r="44" spans="8:36" ht="14.25" thickTop="1" thickBot="1" x14ac:dyDescent="0.25">
      <c r="I44" s="62" t="str">
        <f>IF(R52&lt;&gt;"OK","","Reserve is ~ "&amp;TEXT(T43,"##.0")&amp;" Hrs")</f>
        <v/>
      </c>
      <c r="P44" s="358"/>
      <c r="Q44" s="357"/>
      <c r="R44" s="357"/>
      <c r="S44" s="357"/>
      <c r="T44" s="357"/>
      <c r="U44" s="357"/>
      <c r="V44" s="357"/>
      <c r="W44" s="357"/>
      <c r="X44" s="357"/>
      <c r="Y44" s="416" t="s">
        <v>53</v>
      </c>
      <c r="Z44" s="417" t="s">
        <v>1</v>
      </c>
      <c r="AA44" s="499">
        <f ca="1">J19</f>
        <v>2032.6</v>
      </c>
      <c r="AB44" s="419"/>
      <c r="AC44" s="420"/>
      <c r="AD44" s="500" t="s">
        <v>40</v>
      </c>
      <c r="AE44" s="499">
        <f ca="1">K20</f>
        <v>39.691483813834502</v>
      </c>
      <c r="AF44" s="423" t="s">
        <v>61</v>
      </c>
      <c r="AG44" s="501">
        <f ca="1">VLOOKUP(AA44,Z47:AH50,8)</f>
        <v>35.843462000000002</v>
      </c>
      <c r="AH44" s="502">
        <f ca="1">VLOOKUP(AA44,Z47:AH50,9)</f>
        <v>47.3</v>
      </c>
      <c r="AI44" s="237"/>
      <c r="AJ44" s="237"/>
    </row>
    <row r="45" spans="8:36" ht="13.5" thickTop="1" x14ac:dyDescent="0.2">
      <c r="I45" s="64" t="str">
        <f>IF(R52&lt;&gt;"OK","",IF(R53&lt;&gt;"OK","Caution: &lt; 1 HR",""))</f>
        <v/>
      </c>
      <c r="P45" s="358"/>
      <c r="Q45" s="370" t="s">
        <v>175</v>
      </c>
      <c r="R45" s="371"/>
      <c r="S45" s="482"/>
      <c r="T45" s="482"/>
      <c r="U45" s="357"/>
      <c r="V45" s="357"/>
      <c r="W45" s="357"/>
      <c r="X45" s="357"/>
      <c r="Y45" s="426" t="s">
        <v>48</v>
      </c>
      <c r="Z45" s="427"/>
      <c r="AA45" s="428" t="s">
        <v>67</v>
      </c>
      <c r="AB45" s="429"/>
      <c r="AC45" s="430"/>
      <c r="AD45" s="427"/>
      <c r="AE45" s="431" t="s">
        <v>66</v>
      </c>
      <c r="AF45" s="427"/>
      <c r="AG45" s="432" t="s">
        <v>46</v>
      </c>
      <c r="AH45" s="433" t="s">
        <v>46</v>
      </c>
      <c r="AI45" s="237"/>
      <c r="AJ45" s="237"/>
    </row>
    <row r="46" spans="8:36" ht="13.5" thickBot="1" x14ac:dyDescent="0.25">
      <c r="P46" s="358"/>
      <c r="Q46" s="375" t="str">
        <f t="shared" ref="Q46:Q53" si="3">"Ln"&amp;ROW()</f>
        <v>Ln46</v>
      </c>
      <c r="R46" s="503" t="str">
        <f>IF(AND(C7="",(E7+C9+E9)&gt;0),"WARN","OK")</f>
        <v>OK</v>
      </c>
      <c r="S46" s="504" t="s">
        <v>89</v>
      </c>
      <c r="T46" s="505"/>
      <c r="U46" s="357"/>
      <c r="V46" s="357"/>
      <c r="W46" s="357"/>
      <c r="X46" s="357"/>
      <c r="Y46" s="426" t="s">
        <v>54</v>
      </c>
      <c r="Z46" s="434" t="s">
        <v>41</v>
      </c>
      <c r="AA46" s="434" t="s">
        <v>42</v>
      </c>
      <c r="AB46" s="435" t="s">
        <v>43</v>
      </c>
      <c r="AC46" s="436" t="s">
        <v>41</v>
      </c>
      <c r="AD46" s="437" t="s">
        <v>42</v>
      </c>
      <c r="AE46" s="438" t="s">
        <v>44</v>
      </c>
      <c r="AF46" s="439" t="s">
        <v>45</v>
      </c>
      <c r="AG46" s="440" t="s">
        <v>68</v>
      </c>
      <c r="AH46" s="441" t="s">
        <v>69</v>
      </c>
      <c r="AI46" s="237"/>
      <c r="AJ46" s="237"/>
    </row>
    <row r="47" spans="8:36" ht="13.5" thickTop="1" x14ac:dyDescent="0.2">
      <c r="P47" s="358"/>
      <c r="Q47" s="375" t="str">
        <f t="shared" si="3"/>
        <v>Ln47</v>
      </c>
      <c r="R47" s="503" t="str">
        <f>IF(C7+E7+C9+E9&gt;0,"INFO","OK")</f>
        <v>OK</v>
      </c>
      <c r="S47" s="504" t="s">
        <v>92</v>
      </c>
      <c r="T47" s="505"/>
      <c r="U47" s="357"/>
      <c r="V47" s="357"/>
      <c r="W47" s="357"/>
      <c r="X47" s="357"/>
      <c r="Y47" s="426" t="s">
        <v>55</v>
      </c>
      <c r="Z47" s="442">
        <f>Z40</f>
        <v>1500</v>
      </c>
      <c r="AA47" s="443">
        <f>Z36</f>
        <v>1948</v>
      </c>
      <c r="AB47" s="444">
        <f>+AA47-Z47</f>
        <v>448</v>
      </c>
      <c r="AC47" s="445">
        <f>AE40</f>
        <v>35</v>
      </c>
      <c r="AD47" s="446">
        <f>AE36</f>
        <v>35</v>
      </c>
      <c r="AE47" s="447">
        <f>AD47-AC47</f>
        <v>0</v>
      </c>
      <c r="AF47" s="448">
        <f>IF(OR(AB47=0,AE47=0),0,ROUND(AE47/AB47,5))</f>
        <v>0</v>
      </c>
      <c r="AG47" s="449">
        <f ca="1">IF(AND(AA44&gt;=Z47,AA44&lt;AA47),AC47+((AA44-Z47)*AF47),AC47)</f>
        <v>35</v>
      </c>
      <c r="AH47" s="450">
        <f>AD50</f>
        <v>47.3</v>
      </c>
      <c r="AI47" s="237"/>
      <c r="AJ47" s="237"/>
    </row>
    <row r="48" spans="8:36" x14ac:dyDescent="0.2">
      <c r="P48" s="358"/>
      <c r="Q48" s="375" t="str">
        <f t="shared" si="3"/>
        <v>Ln48</v>
      </c>
      <c r="R48" s="503" t="str">
        <f>IF(AND(C7&gt;0,D15=0),"WARN","OK")</f>
        <v>OK</v>
      </c>
      <c r="S48" s="506" t="s">
        <v>111</v>
      </c>
      <c r="T48" s="507"/>
      <c r="U48" s="357"/>
      <c r="V48" s="357"/>
      <c r="W48" s="357"/>
      <c r="X48" s="357"/>
      <c r="Y48" s="426" t="s">
        <v>56</v>
      </c>
      <c r="Z48" s="451">
        <f>AA47</f>
        <v>1948</v>
      </c>
      <c r="AA48" s="452">
        <f>AA32</f>
        <v>2550</v>
      </c>
      <c r="AB48" s="453">
        <f>+AA48-Z48</f>
        <v>602</v>
      </c>
      <c r="AC48" s="454">
        <f>IF(AD48=AD47,AC47,AD47)</f>
        <v>35</v>
      </c>
      <c r="AD48" s="455">
        <f>AF32</f>
        <v>41</v>
      </c>
      <c r="AE48" s="447">
        <f>AD48-AC48</f>
        <v>6</v>
      </c>
      <c r="AF48" s="448">
        <f>IF(OR(AB48=0,AE48=0),0,ROUND(AE48/AB48,5))</f>
        <v>9.9699999999999997E-3</v>
      </c>
      <c r="AG48" s="449">
        <f ca="1">IF(AND(AA44&gt;=Z48,AA44&lt;AA48),AC48+((AA44-Z48)*AF48),AC48)</f>
        <v>35.843462000000002</v>
      </c>
      <c r="AH48" s="213">
        <f>AH47</f>
        <v>47.3</v>
      </c>
      <c r="AI48" s="237"/>
      <c r="AJ48" s="237"/>
    </row>
    <row r="49" spans="8:36" x14ac:dyDescent="0.2">
      <c r="P49" s="358"/>
      <c r="Q49" s="375" t="str">
        <f t="shared" si="3"/>
        <v>Ln49</v>
      </c>
      <c r="R49" s="503" t="str">
        <f>IF(AND(C7&gt;0,D16=0),"WARN","OK")</f>
        <v>OK</v>
      </c>
      <c r="S49" s="506" t="s">
        <v>113</v>
      </c>
      <c r="T49" s="507"/>
      <c r="U49" s="357"/>
      <c r="V49" s="357"/>
      <c r="W49" s="357"/>
      <c r="X49" s="357"/>
      <c r="Y49" s="426" t="s">
        <v>54</v>
      </c>
      <c r="Z49" s="451">
        <f>AA48</f>
        <v>2550</v>
      </c>
      <c r="AA49" s="452">
        <f>AC32</f>
        <v>2550</v>
      </c>
      <c r="AB49" s="453">
        <f>+AA49-Z49</f>
        <v>0</v>
      </c>
      <c r="AC49" s="454">
        <f>IF(AD49=AD48,AC48,AD48)</f>
        <v>41</v>
      </c>
      <c r="AD49" s="455">
        <f>AH32</f>
        <v>47.3</v>
      </c>
      <c r="AE49" s="447">
        <f>AD49-AC49</f>
        <v>6.2999999999999972</v>
      </c>
      <c r="AF49" s="448">
        <f>IF(OR(AB49=0,AE49=0),0,ROUND(AE49/AB49,5))</f>
        <v>0</v>
      </c>
      <c r="AG49" s="449">
        <f ca="1">IF(AND(AA44&gt;=Z49,AA44&lt;AA49),AC49+((AA44-Z49)*AF49),AC49)</f>
        <v>41</v>
      </c>
      <c r="AH49" s="213">
        <f>AH48</f>
        <v>47.3</v>
      </c>
      <c r="AI49" s="237"/>
      <c r="AJ49" s="237"/>
    </row>
    <row r="50" spans="8:36" ht="13.5" thickBot="1" x14ac:dyDescent="0.25">
      <c r="P50" s="358"/>
      <c r="Q50" s="375" t="str">
        <f t="shared" si="3"/>
        <v>Ln50</v>
      </c>
      <c r="R50" s="503" t="str">
        <f>IF(AND(C7&gt;0,D17=0),"WARN","OK")</f>
        <v>OK</v>
      </c>
      <c r="S50" s="506" t="s">
        <v>112</v>
      </c>
      <c r="T50" s="507"/>
      <c r="U50" s="357"/>
      <c r="V50" s="357"/>
      <c r="W50" s="357"/>
      <c r="X50" s="357"/>
      <c r="Y50" s="458" t="s">
        <v>57</v>
      </c>
      <c r="Z50" s="459">
        <f>AA49</f>
        <v>2550</v>
      </c>
      <c r="AA50" s="460">
        <f>AC40</f>
        <v>2550</v>
      </c>
      <c r="AB50" s="461">
        <f>+AA50-Z50</f>
        <v>0</v>
      </c>
      <c r="AC50" s="462">
        <f>IF(AD50=AD49,AC49,AD49)</f>
        <v>41</v>
      </c>
      <c r="AD50" s="463">
        <f>AH40</f>
        <v>47.3</v>
      </c>
      <c r="AE50" s="464">
        <f>AD50-AC50</f>
        <v>6.2999999999999972</v>
      </c>
      <c r="AF50" s="465">
        <f>IF(OR(AB50=0,AE50=0),0,ROUND(AE50/AB50,5))</f>
        <v>0</v>
      </c>
      <c r="AG50" s="466">
        <f ca="1">IF(AND(AA44&gt;=Z50,AA44&lt;AA50),AC50+((AA44-Z50)*AF50),AC50)</f>
        <v>41</v>
      </c>
      <c r="AH50" s="217">
        <f>AH49</f>
        <v>47.3</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358"/>
      <c r="Q51" s="375" t="str">
        <f t="shared" si="3"/>
        <v>Ln51</v>
      </c>
      <c r="R51" s="503" t="str">
        <f>IF(D18&gt;D15,"ERR","OK")</f>
        <v>OK</v>
      </c>
      <c r="S51" s="506" t="s">
        <v>94</v>
      </c>
      <c r="T51" s="507"/>
      <c r="U51" s="357"/>
      <c r="V51" s="357"/>
      <c r="W51" s="357"/>
      <c r="X51" s="357"/>
      <c r="Y51" s="357"/>
      <c r="Z51" s="357"/>
      <c r="AA51" s="357"/>
      <c r="AB51" s="357"/>
      <c r="AC51" s="357"/>
      <c r="AD51" s="357"/>
      <c r="AE51" s="357"/>
      <c r="AF51" s="357"/>
      <c r="AG51" s="357"/>
      <c r="AH51" s="357"/>
      <c r="AI51" s="237"/>
      <c r="AJ51" s="237"/>
    </row>
    <row r="52" spans="8:36" x14ac:dyDescent="0.2">
      <c r="I52" s="758"/>
      <c r="J52" s="762"/>
      <c r="K52" s="762"/>
      <c r="L52" s="762"/>
      <c r="M52" s="763"/>
      <c r="P52" s="358"/>
      <c r="Q52" s="375" t="str">
        <f t="shared" si="3"/>
        <v>Ln52</v>
      </c>
      <c r="R52" s="503" t="str">
        <f>IF(OR(D15=0,D16=0,D17=0),"WARN","OK")</f>
        <v>WARN</v>
      </c>
      <c r="S52" s="506" t="s">
        <v>110</v>
      </c>
      <c r="T52" s="507"/>
      <c r="U52" s="357"/>
      <c r="V52" s="357"/>
      <c r="W52" s="357"/>
      <c r="X52" s="357"/>
      <c r="Y52" s="357"/>
      <c r="Z52" s="357"/>
      <c r="AA52" s="357"/>
      <c r="AB52" s="357"/>
      <c r="AC52" s="357"/>
      <c r="AD52" s="357"/>
      <c r="AE52" s="357"/>
      <c r="AF52" s="357"/>
      <c r="AG52" s="357"/>
      <c r="AH52" s="357"/>
      <c r="AI52" s="237"/>
      <c r="AJ52" s="237"/>
    </row>
    <row r="53" spans="8:36" ht="13.5" thickBot="1" x14ac:dyDescent="0.25">
      <c r="I53" s="759"/>
      <c r="J53" s="764"/>
      <c r="K53" s="764"/>
      <c r="L53" s="764"/>
      <c r="M53" s="765"/>
      <c r="P53" s="358"/>
      <c r="Q53" s="375" t="str">
        <f t="shared" si="3"/>
        <v>Ln53</v>
      </c>
      <c r="R53" s="503" t="str">
        <f>IF(AND(D15&gt;0,D16&gt;0,D18&gt;0,T43&lt;1),"WARN","OK")</f>
        <v>OK</v>
      </c>
      <c r="S53" s="506" t="s">
        <v>90</v>
      </c>
      <c r="T53" s="507"/>
      <c r="U53" s="357"/>
      <c r="V53" s="357"/>
      <c r="W53" s="357"/>
      <c r="X53" s="357"/>
      <c r="Y53" s="357"/>
      <c r="Z53" s="357"/>
      <c r="AA53" s="357"/>
      <c r="AB53" s="357"/>
      <c r="AC53" s="357"/>
      <c r="AD53" s="357"/>
      <c r="AE53" s="357"/>
      <c r="AF53" s="357"/>
      <c r="AG53" s="357"/>
      <c r="AH53" s="357"/>
      <c r="AI53" s="237"/>
      <c r="AJ53" s="237"/>
    </row>
    <row r="54" spans="8:36" ht="13.5" thickTop="1" x14ac:dyDescent="0.2">
      <c r="I54" s="650" t="str">
        <f>IF(C4&lt;&gt;9999,"","Env "&amp;Z23&amp;"  "&amp;AA23&amp;"  "&amp;AA24&amp;"  "&amp;AA25&amp;"  "&amp;AA26&amp;"     "&amp;AC23&amp;"  "&amp;AD23&amp;"  "&amp;AD24&amp;"  "&amp;AD25&amp;"  "&amp;AD26)</f>
        <v/>
      </c>
      <c r="P54" s="358"/>
      <c r="Q54" s="357"/>
      <c r="R54" s="357"/>
      <c r="S54" s="357"/>
      <c r="T54" s="357"/>
      <c r="U54" s="357"/>
      <c r="V54" s="357"/>
      <c r="W54" s="357"/>
      <c r="X54" s="357"/>
      <c r="Y54" s="357"/>
      <c r="Z54" s="357"/>
      <c r="AA54" s="357"/>
      <c r="AB54" s="357"/>
      <c r="AC54" s="357"/>
      <c r="AD54" s="357"/>
      <c r="AE54" s="357"/>
      <c r="AF54" s="357"/>
      <c r="AG54" s="357"/>
      <c r="AH54" s="357"/>
      <c r="AI54" s="237"/>
      <c r="AJ54" s="237"/>
    </row>
    <row r="55" spans="8:36" x14ac:dyDescent="0.2">
      <c r="I55" s="651" t="str">
        <f>IF(C4&lt;&gt;9999,"","Fuel  T "&amp;T19&amp;"   F "&amp;T18&amp;"      Load   0 "&amp;U37&amp;"  T "&amp;U38&amp;"  F "&amp;U39)</f>
        <v/>
      </c>
      <c r="P55" s="358"/>
      <c r="Q55" s="357"/>
      <c r="R55" s="357"/>
      <c r="S55" s="357"/>
      <c r="T55" s="357"/>
      <c r="U55" s="357"/>
      <c r="V55" s="357"/>
      <c r="W55" s="357"/>
      <c r="X55" s="357"/>
      <c r="Y55" s="357"/>
      <c r="Z55" s="357"/>
      <c r="AA55" s="357"/>
      <c r="AB55" s="357"/>
      <c r="AC55" s="357"/>
      <c r="AD55" s="357"/>
      <c r="AE55" s="357"/>
      <c r="AF55" s="357"/>
      <c r="AG55" s="357"/>
      <c r="AH55" s="357"/>
      <c r="AI55" s="237"/>
      <c r="AJ55" s="237"/>
    </row>
    <row r="56" spans="8:36" x14ac:dyDescent="0.2">
      <c r="P56" s="358"/>
      <c r="Q56" s="357"/>
      <c r="R56" s="357"/>
      <c r="S56" s="357"/>
      <c r="T56" s="357"/>
      <c r="U56" s="357"/>
      <c r="V56" s="357"/>
      <c r="W56" s="357"/>
      <c r="X56" s="357"/>
      <c r="Y56" s="357"/>
      <c r="Z56" s="357"/>
      <c r="AA56" s="357"/>
      <c r="AB56" s="357"/>
      <c r="AC56" s="357"/>
      <c r="AD56" s="357"/>
      <c r="AE56" s="357"/>
      <c r="AF56" s="357"/>
      <c r="AG56" s="357"/>
      <c r="AH56" s="357"/>
      <c r="AI56" s="237"/>
      <c r="AJ56" s="237"/>
    </row>
  </sheetData>
  <sheetProtection algorithmName="SHA-512" hashValue="TlerleLBrRqka6eIimSwvLVh16sfUgzp23Z7EPAb5c7n1b2jBa1P2VH0YIHu3/v3muClAFEXmEhGFddhyscB2A==" saltValue="IfbRG4cxGCh/fwIbjnWcGg==" spinCount="100000" sheet="1" selectLockedCells="1"/>
  <mergeCells count="44">
    <mergeCell ref="AF41:AG41"/>
    <mergeCell ref="AA35:AB35"/>
    <mergeCell ref="I51:I53"/>
    <mergeCell ref="J51:M53"/>
    <mergeCell ref="B21:B22"/>
    <mergeCell ref="C21:F22"/>
    <mergeCell ref="C23:F23"/>
    <mergeCell ref="C24:F24"/>
    <mergeCell ref="AH37:AH39"/>
    <mergeCell ref="C25:F25"/>
    <mergeCell ref="D28:E28"/>
    <mergeCell ref="F28:H28"/>
    <mergeCell ref="D29:E29"/>
    <mergeCell ref="D30:E30"/>
    <mergeCell ref="F30:H30"/>
    <mergeCell ref="AF35:AG35"/>
    <mergeCell ref="AA36:AB36"/>
    <mergeCell ref="AF36:AG36"/>
    <mergeCell ref="AC37:AC39"/>
    <mergeCell ref="AH13:AH15"/>
    <mergeCell ref="D15:E15"/>
    <mergeCell ref="D16:E16"/>
    <mergeCell ref="D17:E17"/>
    <mergeCell ref="AF17:AG17"/>
    <mergeCell ref="D18:E18"/>
    <mergeCell ref="C11:F11"/>
    <mergeCell ref="AA11:AB11"/>
    <mergeCell ref="AF11:AG11"/>
    <mergeCell ref="C12:F12"/>
    <mergeCell ref="AA12:AB12"/>
    <mergeCell ref="AF12:AG12"/>
    <mergeCell ref="AC13:AC15"/>
    <mergeCell ref="B7:B8"/>
    <mergeCell ref="C7:D8"/>
    <mergeCell ref="E7:F8"/>
    <mergeCell ref="B9:B10"/>
    <mergeCell ref="C9:D10"/>
    <mergeCell ref="E9:F10"/>
    <mergeCell ref="C4:D4"/>
    <mergeCell ref="B1:H1"/>
    <mergeCell ref="C2:E2"/>
    <mergeCell ref="J2:K2"/>
    <mergeCell ref="D3:F3"/>
    <mergeCell ref="J3:K3"/>
  </mergeCells>
  <conditionalFormatting sqref="T37:T38">
    <cfRule type="expression" dxfId="1046" priority="25" stopIfTrue="1">
      <formula>S37=""</formula>
    </cfRule>
  </conditionalFormatting>
  <conditionalFormatting sqref="I26 I28">
    <cfRule type="expression" dxfId="1045" priority="26" stopIfTrue="1">
      <formula>E7=""</formula>
    </cfRule>
  </conditionalFormatting>
  <conditionalFormatting sqref="I27 I29:I30">
    <cfRule type="expression" dxfId="1044" priority="27" stopIfTrue="1">
      <formula>C9=""</formula>
    </cfRule>
  </conditionalFormatting>
  <conditionalFormatting sqref="D12">
    <cfRule type="expression" dxfId="1043" priority="29" stopIfTrue="1">
      <formula>OR(D12&gt;#REF!,D11+D12&gt;#REF!)</formula>
    </cfRule>
  </conditionalFormatting>
  <conditionalFormatting sqref="D11">
    <cfRule type="expression" dxfId="1042" priority="30" stopIfTrue="1">
      <formula>OR(D11&gt;#REF!,D11+D12&gt;#REF!)</formula>
    </cfRule>
  </conditionalFormatting>
  <conditionalFormatting sqref="U37:U39 V19">
    <cfRule type="expression" dxfId="1041" priority="31" stopIfTrue="1">
      <formula>S19=""</formula>
    </cfRule>
  </conditionalFormatting>
  <conditionalFormatting sqref="C25">
    <cfRule type="expression" dxfId="1040" priority="32" stopIfTrue="1">
      <formula>AND(C7="",E7+C9+E9&gt;0)</formula>
    </cfRule>
  </conditionalFormatting>
  <conditionalFormatting sqref="B30">
    <cfRule type="expression" dxfId="1039" priority="33" stopIfTrue="1">
      <formula>D29&gt;D28</formula>
    </cfRule>
  </conditionalFormatting>
  <conditionalFormatting sqref="D30:E30">
    <cfRule type="expression" dxfId="1038" priority="34" stopIfTrue="1">
      <formula>D29&gt;D28</formula>
    </cfRule>
  </conditionalFormatting>
  <conditionalFormatting sqref="F30:H30">
    <cfRule type="expression" dxfId="1037" priority="35" stopIfTrue="1">
      <formula>D29&gt;D28</formula>
    </cfRule>
  </conditionalFormatting>
  <conditionalFormatting sqref="B23 B25">
    <cfRule type="cellIs" dxfId="1036" priority="36" stopIfTrue="1" operator="notEqual">
      <formula>""</formula>
    </cfRule>
  </conditionalFormatting>
  <conditionalFormatting sqref="B24">
    <cfRule type="cellIs" dxfId="1035" priority="38" stopIfTrue="1" operator="notEqual">
      <formula>""</formula>
    </cfRule>
  </conditionalFormatting>
  <conditionalFormatting sqref="R46:R53 R29:R31 R8 R10">
    <cfRule type="cellIs" dxfId="1034" priority="39" stopIfTrue="1" operator="notEqual">
      <formula>""</formula>
    </cfRule>
  </conditionalFormatting>
  <conditionalFormatting sqref="S37:S39">
    <cfRule type="expression" dxfId="1033" priority="40" stopIfTrue="1">
      <formula>S37=""</formula>
    </cfRule>
  </conditionalFormatting>
  <conditionalFormatting sqref="R18">
    <cfRule type="cellIs" dxfId="1032" priority="41" stopIfTrue="1" operator="notEqual">
      <formula>""</formula>
    </cfRule>
  </conditionalFormatting>
  <conditionalFormatting sqref="J5">
    <cfRule type="expression" dxfId="1031" priority="42" stopIfTrue="1">
      <formula>expired=TRUE</formula>
    </cfRule>
  </conditionalFormatting>
  <conditionalFormatting sqref="B1:H1">
    <cfRule type="expression" dxfId="1030" priority="43" stopIfTrue="1">
      <formula>expired=TRUE</formula>
    </cfRule>
    <cfRule type="expression" dxfId="1029" priority="44" stopIfTrue="1">
      <formula>old_ver=TRUE</formula>
    </cfRule>
  </conditionalFormatting>
  <conditionalFormatting sqref="I3">
    <cfRule type="expression" dxfId="1028" priority="45" stopIfTrue="1">
      <formula>D3=""</formula>
    </cfRule>
  </conditionalFormatting>
  <conditionalFormatting sqref="J2">
    <cfRule type="expression" dxfId="1027" priority="46" stopIfTrue="1">
      <formula>D3=""</formula>
    </cfRule>
  </conditionalFormatting>
  <conditionalFormatting sqref="L2">
    <cfRule type="expression" dxfId="1026" priority="47" stopIfTrue="1">
      <formula>D3=""</formula>
    </cfRule>
  </conditionalFormatting>
  <conditionalFormatting sqref="L3">
    <cfRule type="expression" dxfId="1025" priority="48" stopIfTrue="1">
      <formula>D3=""</formula>
    </cfRule>
  </conditionalFormatting>
  <conditionalFormatting sqref="J3:K3">
    <cfRule type="expression" dxfId="1024" priority="49" stopIfTrue="1">
      <formula>D3=""</formula>
    </cfRule>
  </conditionalFormatting>
  <conditionalFormatting sqref="I2">
    <cfRule type="expression" dxfId="1023" priority="50" stopIfTrue="1">
      <formula>AND(D3="",C2="")</formula>
    </cfRule>
  </conditionalFormatting>
  <conditionalFormatting sqref="V21">
    <cfRule type="expression" dxfId="1022" priority="23" stopIfTrue="1">
      <formula>T21=""</formula>
    </cfRule>
  </conditionalFormatting>
  <conditionalFormatting sqref="E21:E22">
    <cfRule type="expression" dxfId="1021" priority="51" stopIfTrue="1">
      <formula>OR(AC19="out",AF19="out")</formula>
    </cfRule>
  </conditionalFormatting>
  <conditionalFormatting sqref="M17">
    <cfRule type="expression" dxfId="1020" priority="52" stopIfTrue="1">
      <formula>AE19="out"</formula>
    </cfRule>
  </conditionalFormatting>
  <conditionalFormatting sqref="K17">
    <cfRule type="expression" dxfId="1019" priority="53" stopIfTrue="1">
      <formula>AE19&lt;&gt;"OK"</formula>
    </cfRule>
  </conditionalFormatting>
  <conditionalFormatting sqref="F21:F22">
    <cfRule type="expression" dxfId="1018" priority="54" stopIfTrue="1">
      <formula>OR(AE19="out",AG19="out")</formula>
    </cfRule>
  </conditionalFormatting>
  <conditionalFormatting sqref="C21:C22">
    <cfRule type="expression" dxfId="1017" priority="55" stopIfTrue="1">
      <formula>OR(AA19="out",AE19="out")</formula>
    </cfRule>
  </conditionalFormatting>
  <conditionalFormatting sqref="D21:D22">
    <cfRule type="expression" dxfId="1016" priority="56" stopIfTrue="1">
      <formula>OR(AB19="out",#REF!="out")</formula>
    </cfRule>
  </conditionalFormatting>
  <conditionalFormatting sqref="F12">
    <cfRule type="expression" dxfId="1015" priority="57" stopIfTrue="1">
      <formula>OR(F12&gt;#REF!,F11+F12&gt;#REF!)</formula>
    </cfRule>
  </conditionalFormatting>
  <conditionalFormatting sqref="F11">
    <cfRule type="expression" dxfId="1014" priority="58" stopIfTrue="1">
      <formula>OR(F11&gt;#REF!,F11+F12&gt;#REF!)</formula>
    </cfRule>
  </conditionalFormatting>
  <conditionalFormatting sqref="K20">
    <cfRule type="expression" dxfId="1013" priority="59" stopIfTrue="1">
      <formula>AE43&lt;&gt;"OK"</formula>
    </cfRule>
  </conditionalFormatting>
  <conditionalFormatting sqref="J16">
    <cfRule type="expression" dxfId="1012" priority="60" stopIfTrue="1">
      <formula>R8&lt;&gt;"OK"</formula>
    </cfRule>
  </conditionalFormatting>
  <conditionalFormatting sqref="J19">
    <cfRule type="expression" dxfId="1011" priority="61" stopIfTrue="1">
      <formula>R10&lt;&gt;"OK"</formula>
    </cfRule>
  </conditionalFormatting>
  <conditionalFormatting sqref="B21">
    <cfRule type="expression" dxfId="1010" priority="62" stopIfTrue="1">
      <formula>R10&lt;&gt;"OK"</formula>
    </cfRule>
    <cfRule type="expression" dxfId="1009" priority="63" stopIfTrue="1">
      <formula>R11&lt;&gt;"OK"</formula>
    </cfRule>
  </conditionalFormatting>
  <conditionalFormatting sqref="V27">
    <cfRule type="expression" dxfId="1008" priority="21" stopIfTrue="1">
      <formula>T27=""</formula>
    </cfRule>
  </conditionalFormatting>
  <conditionalFormatting sqref="V26">
    <cfRule type="expression" dxfId="1007" priority="22" stopIfTrue="1">
      <formula>S26=""</formula>
    </cfRule>
  </conditionalFormatting>
  <conditionalFormatting sqref="D15:E15">
    <cfRule type="expression" dxfId="1006" priority="64" stopIfTrue="1">
      <formula>R18="err"</formula>
    </cfRule>
  </conditionalFormatting>
  <conditionalFormatting sqref="F23">
    <cfRule type="expression" dxfId="1005" priority="65" stopIfTrue="1">
      <formula>#REF!&lt;&gt;"OK"</formula>
    </cfRule>
  </conditionalFormatting>
  <conditionalFormatting sqref="M16">
    <cfRule type="expression" dxfId="1004" priority="66" stopIfTrue="1">
      <formula>J16&gt;U8</formula>
    </cfRule>
  </conditionalFormatting>
  <conditionalFormatting sqref="V18">
    <cfRule type="expression" dxfId="1003" priority="67" stopIfTrue="1">
      <formula>S18=""</formula>
    </cfRule>
  </conditionalFormatting>
  <conditionalFormatting sqref="E12">
    <cfRule type="expression" dxfId="1002" priority="77" stopIfTrue="1">
      <formula>OR(E12&gt;Y26,E11+E12&gt;Y44)</formula>
    </cfRule>
  </conditionalFormatting>
  <conditionalFormatting sqref="E11">
    <cfRule type="expression" dxfId="1001" priority="78" stopIfTrue="1">
      <formula>OR(E11&gt;Y25,E11+E12&gt;Y44)</formula>
    </cfRule>
  </conditionalFormatting>
  <conditionalFormatting sqref="B22">
    <cfRule type="expression" dxfId="1000" priority="1167" stopIfTrue="1">
      <formula>R11&lt;&gt;"OK"</formula>
    </cfRule>
    <cfRule type="expression" dxfId="999" priority="1168" stopIfTrue="1">
      <formula>R29&lt;&gt;"OK"</formula>
    </cfRule>
  </conditionalFormatting>
  <conditionalFormatting sqref="C12">
    <cfRule type="expression" dxfId="998" priority="1169" stopIfTrue="1">
      <formula>OR(C12&gt;V30,C11+C12&gt;V31)</formula>
    </cfRule>
  </conditionalFormatting>
  <conditionalFormatting sqref="C11">
    <cfRule type="expression" dxfId="997" priority="1170" stopIfTrue="1">
      <formula>OR(C11&gt;V29,C11+C12&gt;V31)</formula>
    </cfRule>
  </conditionalFormatting>
  <conditionalFormatting sqref="C23:E23">
    <cfRule type="expression" dxfId="996" priority="1171" stopIfTrue="1">
      <formula>R53&lt;&gt;"OK"</formula>
    </cfRule>
  </conditionalFormatting>
  <conditionalFormatting sqref="C7:D8">
    <cfRule type="expression" dxfId="995" priority="1172" stopIfTrue="1">
      <formula>R46&lt;&gt;"OK"</formula>
    </cfRule>
  </conditionalFormatting>
  <conditionalFormatting sqref="D18:E18">
    <cfRule type="expression" dxfId="994" priority="1173" stopIfTrue="1">
      <formula>R51&lt;&gt;"OK"</formula>
    </cfRule>
  </conditionalFormatting>
  <conditionalFormatting sqref="B18 B20">
    <cfRule type="expression" dxfId="993" priority="1174" stopIfTrue="1">
      <formula>R51&lt;&gt;"OK"</formula>
    </cfRule>
  </conditionalFormatting>
  <conditionalFormatting sqref="D19">
    <cfRule type="expression" dxfId="992" priority="1176" stopIfTrue="1">
      <formula>R53&lt;&gt;"ok"</formula>
    </cfRule>
  </conditionalFormatting>
  <conditionalFormatting sqref="S21">
    <cfRule type="expression" dxfId="991" priority="12" stopIfTrue="1">
      <formula>T21=""</formula>
    </cfRule>
  </conditionalFormatting>
  <conditionalFormatting sqref="S22:S23">
    <cfRule type="expression" dxfId="990" priority="11" stopIfTrue="1">
      <formula>S22=""</formula>
    </cfRule>
  </conditionalFormatting>
  <conditionalFormatting sqref="S20">
    <cfRule type="expression" dxfId="989" priority="9">
      <formula>AND(OR(T20="",LEFT(T20,1)="F"),T18&lt;&gt;T19)</formula>
    </cfRule>
    <cfRule type="expression" dxfId="988" priority="10">
      <formula>AND(LEFT(T20,1)&lt;&gt;"F",T18=T19)</formula>
    </cfRule>
  </conditionalFormatting>
  <conditionalFormatting sqref="R20">
    <cfRule type="cellIs" dxfId="987" priority="8" stopIfTrue="1" operator="notEqual">
      <formula>""</formula>
    </cfRule>
  </conditionalFormatting>
  <conditionalFormatting sqref="V20">
    <cfRule type="expression" dxfId="986" priority="7" stopIfTrue="1">
      <formula>T20=""</formula>
    </cfRule>
  </conditionalFormatting>
  <conditionalFormatting sqref="S12:S15">
    <cfRule type="expression" dxfId="985" priority="5" stopIfTrue="1">
      <formula>S12=""</formula>
    </cfRule>
  </conditionalFormatting>
  <conditionalFormatting sqref="R11">
    <cfRule type="cellIs" dxfId="984" priority="4" stopIfTrue="1" operator="notEqual">
      <formula>""</formula>
    </cfRule>
  </conditionalFormatting>
  <conditionalFormatting sqref="S19">
    <cfRule type="expression" dxfId="983" priority="2" stopIfTrue="1">
      <formula>#REF!=""</formula>
    </cfRule>
  </conditionalFormatting>
  <conditionalFormatting sqref="C24:F24">
    <cfRule type="cellIs" dxfId="982" priority="1" stopIfTrue="1" operator="notEqual">
      <formula>""</formula>
    </cfRule>
  </conditionalFormatting>
  <dataValidations count="3">
    <dataValidation type="date" allowBlank="1" showInputMessage="1" showErrorMessage="1" errorTitle="Input Error" error="A valid date must be entered into this cell.  Enter as  mm/dd/yy  _x000a__x000a_" sqref="C2:E2" xr:uid="{00000000-0002-0000-0400-000000000000}">
      <formula1>36526</formula1>
      <formula2>44196</formula2>
    </dataValidation>
    <dataValidation type="custom" allowBlank="1" showInputMessage="1" showErrorMessage="1" errorTitle="Input Error" error="Entry must be a NUMERIC VALUE!" sqref="D15:E17 C7:F12" xr:uid="{00000000-0002-0000-0400-000001000000}">
      <formula1>ISNUMBER(C7)</formula1>
    </dataValidation>
    <dataValidation type="list" showInputMessage="1" showErrorMessage="1" errorTitle="STANDARD FUELING LEVEL" error="STANDARD FUELING LEVEL MUST BE ENTERED:_x000a_TABS,_x000a_Measured,_x000a_FULL" sqref="T20" xr:uid="{00000000-0002-0000-0400-000002000000}">
      <formula1>"TABS,Measured,FULL"</formula1>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indexed="61"/>
    <pageSetUpPr fitToPage="1"/>
  </sheetPr>
  <dimension ref="B1:AJ56"/>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5" width="4.7109375" hidden="1" customWidth="1"/>
    <col min="16" max="16" width="11.7109375" hidden="1" customWidth="1"/>
    <col min="17" max="17" width="9.7109375" hidden="1" customWidth="1"/>
    <col min="18" max="18" width="8.42578125" hidden="1" customWidth="1"/>
    <col min="19" max="19" width="19" hidden="1" customWidth="1"/>
    <col min="20" max="22" width="7.7109375" hidden="1" customWidth="1"/>
    <col min="23" max="23" width="29.42578125" hidden="1" customWidth="1"/>
    <col min="24" max="24" width="4.7109375" hidden="1" customWidth="1"/>
    <col min="25" max="25" width="3.5703125" hidden="1" customWidth="1"/>
    <col min="26" max="33" width="9.140625" hidden="1" customWidth="1"/>
    <col min="34" max="34" width="9.5703125" hidden="1" customWidth="1"/>
    <col min="35" max="36" width="9" hidden="1" customWidth="1"/>
    <col min="37" max="37" width="8.140625" customWidth="1"/>
  </cols>
  <sheetData>
    <row r="1" spans="2:36" ht="22.5" customHeight="1" thickBot="1" x14ac:dyDescent="0.25">
      <c r="B1" s="807" t="str">
        <f ca="1">status_msg</f>
        <v/>
      </c>
      <c r="C1" s="807"/>
      <c r="D1" s="807"/>
      <c r="E1" s="807"/>
      <c r="F1" s="807"/>
      <c r="G1" s="807"/>
      <c r="H1" s="807"/>
      <c r="I1" s="303" t="str">
        <f>Q1</f>
        <v>CAP 923</v>
      </c>
      <c r="J1" s="303" t="str">
        <f>R1</f>
        <v>N990CP</v>
      </c>
      <c r="K1" s="304"/>
      <c r="L1" s="301" t="str">
        <f>S1</f>
        <v xml:space="preserve">(180hp C 172P)  </v>
      </c>
      <c r="M1" s="302"/>
      <c r="P1" s="335" t="s">
        <v>178</v>
      </c>
      <c r="Q1" s="307" t="s">
        <v>279</v>
      </c>
      <c r="R1" s="307" t="s">
        <v>280</v>
      </c>
      <c r="S1" s="308" t="s">
        <v>242</v>
      </c>
      <c r="T1" s="308"/>
      <c r="U1" s="237"/>
      <c r="V1" s="237"/>
      <c r="W1" s="237"/>
      <c r="X1" s="237"/>
      <c r="Y1" s="237"/>
      <c r="Z1" s="237"/>
      <c r="AA1" s="237"/>
      <c r="AB1" s="237"/>
      <c r="AC1" s="237"/>
      <c r="AD1" s="237"/>
      <c r="AE1" s="237"/>
      <c r="AF1" s="237"/>
      <c r="AG1" s="237"/>
      <c r="AH1" s="237"/>
      <c r="AI1" s="237"/>
      <c r="AJ1" s="237"/>
    </row>
    <row r="2" spans="2:36" ht="15" customHeight="1" thickTop="1" thickBot="1" x14ac:dyDescent="0.25">
      <c r="B2" s="137" t="s">
        <v>131</v>
      </c>
      <c r="C2" s="808"/>
      <c r="D2" s="808"/>
      <c r="E2" s="809"/>
      <c r="F2" s="142" t="str">
        <f>IF(D3="","mm/dd/yy","(if not today)")</f>
        <v>mm/dd/yy</v>
      </c>
      <c r="H2" s="523"/>
      <c r="I2" s="138" t="s">
        <v>131</v>
      </c>
      <c r="J2" s="810" t="str">
        <f>IF(C3="","","Mission Symbol")&amp;"   Mission No:"</f>
        <v xml:space="preserve">   Mission No:</v>
      </c>
      <c r="K2" s="810"/>
      <c r="L2" s="632" t="s">
        <v>130</v>
      </c>
      <c r="P2" s="238"/>
      <c r="Q2" s="330" t="s">
        <v>173</v>
      </c>
      <c r="R2" s="330" t="s">
        <v>145</v>
      </c>
      <c r="S2" s="331" t="s">
        <v>172</v>
      </c>
      <c r="T2" s="332"/>
      <c r="U2" s="237"/>
      <c r="V2" s="237"/>
      <c r="W2" s="237"/>
      <c r="X2" s="237"/>
      <c r="Y2" s="237"/>
      <c r="Z2" s="237"/>
      <c r="AA2" s="237"/>
      <c r="AB2" s="237"/>
      <c r="AC2" s="237"/>
      <c r="AD2" s="237"/>
      <c r="AE2" s="237"/>
      <c r="AF2" s="237"/>
      <c r="AG2" s="237"/>
      <c r="AH2" s="237"/>
      <c r="AI2" s="237"/>
      <c r="AJ2" s="237"/>
    </row>
    <row r="3" spans="2:36" ht="15" customHeight="1" thickTop="1" thickBot="1" x14ac:dyDescent="0.25">
      <c r="B3" s="140" t="s">
        <v>137</v>
      </c>
      <c r="C3" s="631"/>
      <c r="D3" s="811"/>
      <c r="E3" s="811"/>
      <c r="F3" s="812"/>
      <c r="I3" s="131" t="str">
        <f ca="1">IF(AND(D3="",C2=""),"",IF(C2="",TODAY(),C2))</f>
        <v/>
      </c>
      <c r="J3" s="813" t="str">
        <f>IF(C3="","",IF(D3="","",C3))&amp;"      "&amp;IF(D3="","",D3)</f>
        <v xml:space="preserve">      </v>
      </c>
      <c r="K3" s="814"/>
      <c r="L3" s="132" t="str">
        <f>IF(C4="","",C4)</f>
        <v/>
      </c>
      <c r="P3" s="251"/>
      <c r="Q3" s="296"/>
      <c r="R3" s="296"/>
      <c r="S3" s="237"/>
      <c r="T3" s="237"/>
      <c r="U3" s="237"/>
      <c r="V3" s="237"/>
      <c r="W3" s="237"/>
      <c r="X3" s="237"/>
      <c r="Y3" s="237"/>
      <c r="Z3" s="241"/>
      <c r="AA3" s="237"/>
      <c r="AB3" s="244"/>
      <c r="AC3" s="237"/>
      <c r="AD3" s="237"/>
      <c r="AE3" s="237"/>
      <c r="AF3" s="237"/>
      <c r="AG3" s="237"/>
      <c r="AH3" s="237"/>
      <c r="AI3" s="237"/>
      <c r="AJ3" s="237"/>
    </row>
    <row r="4" spans="2:36" ht="12" customHeight="1" thickTop="1" x14ac:dyDescent="0.2">
      <c r="B4" s="140" t="s">
        <v>130</v>
      </c>
      <c r="C4" s="805"/>
      <c r="D4" s="806"/>
      <c r="E4" s="140"/>
      <c r="I4" s="703" t="s">
        <v>299</v>
      </c>
      <c r="J4" s="689"/>
      <c r="K4" s="688"/>
      <c r="L4" s="688"/>
      <c r="M4" s="688"/>
      <c r="P4" s="553" t="s">
        <v>222</v>
      </c>
      <c r="Q4" s="297"/>
      <c r="R4" s="297"/>
      <c r="S4" s="237"/>
      <c r="T4" s="298" t="s">
        <v>98</v>
      </c>
      <c r="U4" s="311"/>
      <c r="V4" s="299" t="s">
        <v>99</v>
      </c>
      <c r="W4" s="237"/>
      <c r="X4" s="237"/>
      <c r="Y4" s="237"/>
      <c r="Z4" s="237"/>
      <c r="AA4" s="237"/>
      <c r="AB4" s="237"/>
      <c r="AC4" s="237"/>
      <c r="AD4" s="237"/>
      <c r="AE4" s="237"/>
      <c r="AF4" s="237"/>
      <c r="AG4" s="237"/>
      <c r="AH4" s="237"/>
      <c r="AI4" s="237"/>
      <c r="AJ4" s="237"/>
    </row>
    <row r="5" spans="2:36" ht="12" customHeight="1" x14ac:dyDescent="0.2">
      <c r="I5" s="35"/>
      <c r="J5" s="36"/>
      <c r="K5" s="36"/>
      <c r="L5" s="36"/>
      <c r="M5" s="134" t="str">
        <f>"Release ID:   "&amp;release_nbr&amp;"    "&amp;TEXT(release_date,"dd mmm yyyy  ")</f>
        <v xml:space="preserve">Release ID:   R1    21 Mar 2020  </v>
      </c>
      <c r="P5" s="251"/>
      <c r="Q5" s="237"/>
      <c r="R5" s="237"/>
      <c r="S5" s="237"/>
      <c r="T5" s="237"/>
      <c r="U5" s="237"/>
      <c r="V5" s="237"/>
      <c r="W5" s="237"/>
      <c r="X5" s="237"/>
      <c r="Y5" s="237"/>
      <c r="Z5" s="237"/>
      <c r="AA5" s="237"/>
      <c r="AB5" s="237"/>
      <c r="AC5" s="237"/>
      <c r="AD5" s="237"/>
      <c r="AE5" s="237"/>
      <c r="AF5" s="237"/>
      <c r="AG5" s="237"/>
      <c r="AH5" s="237"/>
      <c r="AI5" s="237"/>
      <c r="AJ5" s="237"/>
    </row>
    <row r="6" spans="2:36" ht="12.75" customHeight="1" thickBot="1" x14ac:dyDescent="0.35">
      <c r="B6" s="3" t="s">
        <v>31</v>
      </c>
      <c r="I6" s="37" t="s">
        <v>0</v>
      </c>
      <c r="J6" s="38" t="s">
        <v>1</v>
      </c>
      <c r="K6" s="38" t="s">
        <v>2</v>
      </c>
      <c r="L6" s="39" t="s">
        <v>97</v>
      </c>
      <c r="M6" s="133" t="s">
        <v>3</v>
      </c>
      <c r="P6" s="251"/>
      <c r="Q6" s="333" t="s">
        <v>120</v>
      </c>
      <c r="R6" s="247"/>
      <c r="S6" s="247"/>
      <c r="T6" s="247"/>
      <c r="U6" s="190" t="s">
        <v>1</v>
      </c>
      <c r="V6" s="190" t="s">
        <v>2</v>
      </c>
      <c r="W6" s="336" t="s">
        <v>179</v>
      </c>
      <c r="X6" s="237"/>
      <c r="Y6" s="237"/>
      <c r="Z6" s="237"/>
      <c r="AA6" s="237"/>
      <c r="AB6" s="294" t="s">
        <v>163</v>
      </c>
      <c r="AC6" s="247"/>
      <c r="AD6" s="247"/>
      <c r="AE6" s="247"/>
      <c r="AF6" s="247"/>
      <c r="AG6" s="247"/>
      <c r="AH6" s="237"/>
      <c r="AI6" s="237"/>
      <c r="AJ6" s="237"/>
    </row>
    <row r="7" spans="2:36" ht="15" customHeight="1" thickTop="1" thickBot="1" x14ac:dyDescent="0.25">
      <c r="B7" s="803" t="s">
        <v>32</v>
      </c>
      <c r="C7" s="802"/>
      <c r="D7" s="804"/>
      <c r="E7" s="802"/>
      <c r="F7" s="800"/>
      <c r="H7" s="1"/>
      <c r="I7" s="13" t="s">
        <v>4</v>
      </c>
      <c r="J7" s="188">
        <f>U7</f>
        <v>1691.83</v>
      </c>
      <c r="K7" s="67">
        <f>V7</f>
        <v>39.9</v>
      </c>
      <c r="L7" s="68">
        <f>ROUND(J7*K7/1000,5)</f>
        <v>67.504019999999997</v>
      </c>
      <c r="M7" s="586" t="str">
        <f>IF(W7="","",W7)</f>
        <v xml:space="preserve">W/B: </v>
      </c>
      <c r="P7" s="251"/>
      <c r="Q7" s="239" t="str">
        <f>"Ln"&amp;ROW()</f>
        <v>Ln7</v>
      </c>
      <c r="R7" s="254"/>
      <c r="S7" s="260" t="s">
        <v>4</v>
      </c>
      <c r="T7" s="261"/>
      <c r="U7" s="340">
        <v>1691.83</v>
      </c>
      <c r="V7" s="309">
        <v>39.9</v>
      </c>
      <c r="W7" s="310" t="s">
        <v>278</v>
      </c>
      <c r="X7" s="237"/>
      <c r="Y7" s="237"/>
      <c r="Z7" s="237"/>
      <c r="AA7" s="237"/>
      <c r="AB7" s="237"/>
      <c r="AC7" s="243"/>
      <c r="AD7" s="249" t="s">
        <v>162</v>
      </c>
      <c r="AE7" s="237"/>
      <c r="AF7" s="237"/>
      <c r="AG7" s="237"/>
      <c r="AH7" s="237"/>
      <c r="AI7" s="237"/>
      <c r="AJ7" s="237"/>
    </row>
    <row r="8" spans="2:36" ht="15" customHeight="1" thickTop="1" thickBot="1" x14ac:dyDescent="0.25">
      <c r="B8" s="803"/>
      <c r="C8" s="802"/>
      <c r="D8" s="804"/>
      <c r="E8" s="802"/>
      <c r="F8" s="800"/>
      <c r="H8" s="1"/>
      <c r="I8" s="125" t="s">
        <v>10</v>
      </c>
      <c r="J8" s="189">
        <f>D15*6</f>
        <v>0</v>
      </c>
      <c r="K8" s="69">
        <f>U18</f>
        <v>48</v>
      </c>
      <c r="L8" s="72">
        <f>ROUND((J8*K8)/1000,5)</f>
        <v>0</v>
      </c>
      <c r="M8" s="11" t="str">
        <f>V18&amp;" lbs Max ("&amp;T18&amp;" gals)  "&amp;IF(OR(T18=T19,T19="",T19=0),"",V19&amp;" lbs Tabs ("&amp;T19&amp;" gals)")</f>
        <v xml:space="preserve">240 lbs Max (40 gals)  </v>
      </c>
      <c r="P8" s="251"/>
      <c r="Q8" s="239" t="str">
        <f t="shared" ref="Q8:Q34" si="0">"Ln"&amp;ROW()</f>
        <v>Ln8</v>
      </c>
      <c r="R8" s="257" t="str">
        <f ca="1">IF(J16&gt;U8,"ERR","OK")</f>
        <v>OK</v>
      </c>
      <c r="S8" s="260" t="s">
        <v>168</v>
      </c>
      <c r="T8" s="261"/>
      <c r="U8" s="341">
        <v>2550</v>
      </c>
      <c r="V8" s="237"/>
      <c r="W8" s="237"/>
      <c r="X8" s="237"/>
      <c r="Y8" s="193"/>
      <c r="Z8" s="194"/>
      <c r="AA8" s="312">
        <v>2550</v>
      </c>
      <c r="AC8" s="625">
        <f>AA8</f>
        <v>2550</v>
      </c>
      <c r="AD8" s="237"/>
      <c r="AF8" s="314">
        <v>41</v>
      </c>
      <c r="AH8" s="315">
        <v>47.3</v>
      </c>
      <c r="AI8" s="237"/>
      <c r="AJ8" s="237"/>
    </row>
    <row r="9" spans="2:36" ht="15" customHeight="1" thickTop="1" thickBot="1" x14ac:dyDescent="0.25">
      <c r="B9" s="803" t="s">
        <v>33</v>
      </c>
      <c r="C9" s="802"/>
      <c r="D9" s="804"/>
      <c r="E9" s="802"/>
      <c r="F9" s="800"/>
      <c r="H9" s="1"/>
      <c r="I9" s="125" t="s">
        <v>11</v>
      </c>
      <c r="J9" s="189">
        <f>C7+E7</f>
        <v>0</v>
      </c>
      <c r="K9" s="69">
        <f>U26</f>
        <v>37</v>
      </c>
      <c r="L9" s="72">
        <f>ROUND((J9*K9)/1000,5)</f>
        <v>0</v>
      </c>
      <c r="M9" s="11" t="str">
        <f>IF(W26="","",W26)</f>
        <v/>
      </c>
      <c r="P9" s="251"/>
      <c r="Q9" s="239" t="str">
        <f t="shared" si="0"/>
        <v>Ln9</v>
      </c>
      <c r="R9" s="258"/>
      <c r="S9" s="260" t="s">
        <v>169</v>
      </c>
      <c r="T9" s="261"/>
      <c r="U9" s="341">
        <v>2557</v>
      </c>
      <c r="V9" s="252"/>
      <c r="W9" s="300" t="s">
        <v>176</v>
      </c>
      <c r="X9" s="237"/>
      <c r="Y9" s="196"/>
      <c r="Z9" s="192"/>
      <c r="AD9" s="237"/>
      <c r="AI9" s="237"/>
      <c r="AJ9" s="237"/>
    </row>
    <row r="10" spans="2:36" ht="15" customHeight="1" thickTop="1" thickBot="1" x14ac:dyDescent="0.3">
      <c r="B10" s="803"/>
      <c r="C10" s="802"/>
      <c r="D10" s="804"/>
      <c r="E10" s="802"/>
      <c r="F10" s="800"/>
      <c r="H10" s="1"/>
      <c r="I10" s="125" t="s">
        <v>12</v>
      </c>
      <c r="J10" s="189">
        <f>C9+E9</f>
        <v>0</v>
      </c>
      <c r="K10" s="69">
        <f>U27</f>
        <v>73</v>
      </c>
      <c r="L10" s="72">
        <f>ROUND((J10*K10)/1000,5)</f>
        <v>0</v>
      </c>
      <c r="M10" s="11" t="str">
        <f>IF(W27="","",W27)</f>
        <v/>
      </c>
      <c r="P10" s="251"/>
      <c r="Q10" s="239" t="str">
        <f t="shared" si="0"/>
        <v>Ln10</v>
      </c>
      <c r="R10" s="257" t="str">
        <f>IF(U8=U10,"OK",IF(J20&gt;U10,"WARN","OK"))</f>
        <v>OK</v>
      </c>
      <c r="S10" s="260" t="s">
        <v>170</v>
      </c>
      <c r="T10" s="261"/>
      <c r="U10" s="341">
        <v>2550</v>
      </c>
      <c r="V10" s="392"/>
      <c r="W10" s="393" t="s">
        <v>176</v>
      </c>
      <c r="X10" s="237"/>
      <c r="Y10" s="305" t="s">
        <v>155</v>
      </c>
      <c r="Z10" s="192"/>
      <c r="AD10" s="237"/>
      <c r="AI10" s="237"/>
      <c r="AJ10" s="237"/>
    </row>
    <row r="11" spans="2:36" ht="15" customHeight="1" thickTop="1" thickBot="1" x14ac:dyDescent="0.3">
      <c r="B11" s="6" t="s">
        <v>25</v>
      </c>
      <c r="C11" s="800"/>
      <c r="D11" s="801"/>
      <c r="E11" s="801"/>
      <c r="F11" s="802"/>
      <c r="H11" s="1"/>
      <c r="I11" s="19" t="s">
        <v>13</v>
      </c>
      <c r="J11" s="189">
        <f>C11</f>
        <v>0</v>
      </c>
      <c r="K11" s="69">
        <f>U29</f>
        <v>95</v>
      </c>
      <c r="L11" s="72">
        <f>ROUND((J11*K11)/1000,5)</f>
        <v>0</v>
      </c>
      <c r="M11" s="11" t="str">
        <f>V29&amp;" lbs max ("&amp;V31&amp;" max baggage 1+2)"</f>
        <v>120 lbs max (120 max baggage 1+2)</v>
      </c>
      <c r="P11" s="251"/>
      <c r="Q11" s="239" t="str">
        <f t="shared" si="0"/>
        <v>Ln11</v>
      </c>
      <c r="R11" s="384" t="str">
        <f>IF(U8=U10,"OK",IF(J19&gt;U11,"WARN","OK"))</f>
        <v>OK</v>
      </c>
      <c r="S11" s="255" t="s">
        <v>171</v>
      </c>
      <c r="T11" s="256"/>
      <c r="U11" s="259">
        <f>U10</f>
        <v>2550</v>
      </c>
      <c r="V11" s="237"/>
      <c r="W11" s="237"/>
      <c r="X11" s="237"/>
      <c r="Y11" s="305" t="s">
        <v>50</v>
      </c>
      <c r="Z11" s="192"/>
      <c r="AA11" s="815" t="s">
        <v>1</v>
      </c>
      <c r="AB11" s="815"/>
      <c r="AD11" s="237"/>
      <c r="AF11" s="815" t="s">
        <v>154</v>
      </c>
      <c r="AG11" s="815"/>
      <c r="AI11" s="237"/>
      <c r="AJ11" s="237"/>
    </row>
    <row r="12" spans="2:36" ht="15" customHeight="1" thickTop="1" thickBot="1" x14ac:dyDescent="0.3">
      <c r="B12" s="6" t="s">
        <v>26</v>
      </c>
      <c r="C12" s="800"/>
      <c r="D12" s="801"/>
      <c r="E12" s="801"/>
      <c r="F12" s="802"/>
      <c r="H12" s="1"/>
      <c r="I12" s="19" t="s">
        <v>14</v>
      </c>
      <c r="J12" s="189">
        <f>C12</f>
        <v>0</v>
      </c>
      <c r="K12" s="69">
        <f>U30</f>
        <v>123</v>
      </c>
      <c r="L12" s="72">
        <f>ROUND((J12*K12)/1000,5)</f>
        <v>0</v>
      </c>
      <c r="M12" s="11" t="str">
        <f>V30&amp;" lbs max"</f>
        <v>50 lbs max</v>
      </c>
      <c r="P12" s="251"/>
      <c r="Q12" s="239" t="str">
        <f t="shared" si="0"/>
        <v>Ln12</v>
      </c>
      <c r="R12" s="391"/>
      <c r="S12" s="400" t="s">
        <v>7</v>
      </c>
      <c r="T12" s="391"/>
      <c r="U12" s="391"/>
      <c r="V12" s="392"/>
      <c r="W12" s="393" t="s">
        <v>176</v>
      </c>
      <c r="X12" s="237"/>
      <c r="Y12" s="305" t="s">
        <v>56</v>
      </c>
      <c r="Z12" s="312">
        <v>1948</v>
      </c>
      <c r="AA12" s="815" t="s">
        <v>153</v>
      </c>
      <c r="AB12" s="815"/>
      <c r="AD12" s="237"/>
      <c r="AE12" s="626">
        <f>AE16</f>
        <v>35</v>
      </c>
      <c r="AF12" s="815" t="s">
        <v>153</v>
      </c>
      <c r="AG12" s="815"/>
      <c r="AI12" s="237"/>
      <c r="AJ12" s="237"/>
    </row>
    <row r="13" spans="2:36" ht="15" customHeight="1" thickTop="1" x14ac:dyDescent="0.25">
      <c r="B13" s="6"/>
      <c r="H13" s="1"/>
      <c r="I13" s="185"/>
      <c r="J13" s="187"/>
      <c r="K13" s="26"/>
      <c r="L13" s="92"/>
      <c r="M13" s="186"/>
      <c r="P13" s="251"/>
      <c r="Q13" s="239" t="str">
        <f t="shared" si="0"/>
        <v>Ln13</v>
      </c>
      <c r="R13" s="391"/>
      <c r="S13" s="400" t="s">
        <v>194</v>
      </c>
      <c r="T13" s="391"/>
      <c r="U13" s="391"/>
      <c r="V13" s="392"/>
      <c r="W13" s="393" t="s">
        <v>176</v>
      </c>
      <c r="X13" s="237"/>
      <c r="Y13" s="305" t="s">
        <v>57</v>
      </c>
      <c r="Z13" s="192"/>
      <c r="AC13" s="816" t="s">
        <v>157</v>
      </c>
      <c r="AD13" s="237"/>
      <c r="AH13" s="816" t="s">
        <v>167</v>
      </c>
      <c r="AI13" s="237"/>
      <c r="AJ13" s="237"/>
    </row>
    <row r="14" spans="2:36" ht="15" customHeight="1" thickBot="1" x14ac:dyDescent="0.35">
      <c r="B14" s="3"/>
      <c r="C14" s="235"/>
      <c r="D14" s="2"/>
      <c r="E14" s="2"/>
      <c r="F14" s="40" t="str">
        <f>IF(R20="err","","(Std Fueling "&amp;T19&amp;" gal ("&amp;T20&amp;"))")</f>
        <v>(Std Fueling 40 gal (FULL))</v>
      </c>
      <c r="H14" s="1"/>
      <c r="I14" s="15" t="s">
        <v>6</v>
      </c>
      <c r="J14" s="71">
        <f>SUM(J7:J13)</f>
        <v>1691.83</v>
      </c>
      <c r="K14" s="26"/>
      <c r="L14" s="70">
        <f>SUM(L7:L13)</f>
        <v>67.504019999999997</v>
      </c>
      <c r="M14" s="11" t="str">
        <f>"Max Ramp Weight: "&amp;TEXT(U9,"#,###")&amp;IF(U8&lt;&gt;U10," - Landing "&amp;TEXT(U10,"#,###"),"")</f>
        <v>Max Ramp Weight: 2,557</v>
      </c>
      <c r="P14" s="251"/>
      <c r="Q14" s="239" t="str">
        <f t="shared" si="0"/>
        <v>Ln14</v>
      </c>
      <c r="R14" s="391"/>
      <c r="S14" s="400" t="s">
        <v>24</v>
      </c>
      <c r="T14" s="391"/>
      <c r="U14" s="391"/>
      <c r="V14" s="392"/>
      <c r="W14" s="393" t="s">
        <v>177</v>
      </c>
      <c r="X14" s="237"/>
      <c r="Y14" s="305" t="s">
        <v>156</v>
      </c>
      <c r="Z14" s="192"/>
      <c r="AC14" s="816"/>
      <c r="AD14" s="237"/>
      <c r="AH14" s="816"/>
      <c r="AI14" s="237"/>
      <c r="AJ14" s="237"/>
    </row>
    <row r="15" spans="2:36" ht="15" customHeight="1" thickTop="1" thickBot="1" x14ac:dyDescent="0.3">
      <c r="B15" s="32" t="s">
        <v>88</v>
      </c>
      <c r="C15" s="4"/>
      <c r="D15" s="793"/>
      <c r="E15" s="793"/>
      <c r="F15" s="5" t="s">
        <v>36</v>
      </c>
      <c r="H15" s="1"/>
      <c r="I15" s="16" t="s">
        <v>15</v>
      </c>
      <c r="J15" s="585">
        <f>V21</f>
        <v>-7</v>
      </c>
      <c r="K15" s="69">
        <f>U18</f>
        <v>48</v>
      </c>
      <c r="L15" s="72">
        <f>ROUND((J15*K15)/1000,5)</f>
        <v>-0.33600000000000002</v>
      </c>
      <c r="M15" s="11" t="s">
        <v>16</v>
      </c>
      <c r="P15" s="251"/>
      <c r="Q15" s="239" t="str">
        <f t="shared" si="0"/>
        <v>Ln15</v>
      </c>
      <c r="R15" s="391"/>
      <c r="S15" s="400" t="s">
        <v>193</v>
      </c>
      <c r="T15" s="391"/>
      <c r="U15" s="391"/>
      <c r="V15" s="392"/>
      <c r="W15" s="393" t="s">
        <v>177</v>
      </c>
      <c r="X15" s="237"/>
      <c r="Y15" s="305" t="s">
        <v>47</v>
      </c>
      <c r="Z15" s="312">
        <v>1500</v>
      </c>
      <c r="AC15" s="817"/>
      <c r="AD15" s="237"/>
      <c r="AH15" s="817"/>
      <c r="AI15" s="237"/>
      <c r="AJ15" s="237"/>
    </row>
    <row r="16" spans="2:36" ht="15" customHeight="1" thickTop="1" thickBot="1" x14ac:dyDescent="0.25">
      <c r="B16" s="32" t="s">
        <v>35</v>
      </c>
      <c r="C16" s="2"/>
      <c r="D16" s="794"/>
      <c r="E16" s="795"/>
      <c r="F16" s="5" t="s">
        <v>108</v>
      </c>
      <c r="H16" s="1"/>
      <c r="I16" s="17" t="s">
        <v>7</v>
      </c>
      <c r="J16" s="126">
        <f ca="1">IF(expired=TRUE,9999,SUM(J14:J15))</f>
        <v>1684.83</v>
      </c>
      <c r="K16" s="73" t="s">
        <v>5</v>
      </c>
      <c r="L16" s="74">
        <f>SUM(L14:L15)</f>
        <v>67.168019999999999</v>
      </c>
      <c r="M16" s="110" t="str">
        <f>"Max Gross: "&amp;TEXT(U8,"#,##0")&amp;"   Useful Load: "&amp;TEXT(U37,"#,##0")</f>
        <v>Max Gross: 2,550   Useful Load: 858</v>
      </c>
      <c r="P16" s="251"/>
      <c r="Q16" s="240"/>
      <c r="R16" s="240"/>
      <c r="S16" s="240"/>
      <c r="T16" s="240"/>
      <c r="U16" s="240"/>
      <c r="V16" s="240"/>
      <c r="W16" s="240"/>
      <c r="X16" s="237"/>
      <c r="Y16" s="195"/>
      <c r="Z16" s="192"/>
      <c r="AC16" s="191">
        <f>AC8</f>
        <v>2550</v>
      </c>
      <c r="AD16" s="237"/>
      <c r="AE16" s="313">
        <v>35</v>
      </c>
      <c r="AF16" s="7"/>
      <c r="AG16" s="7"/>
      <c r="AH16" s="199">
        <f>AH8</f>
        <v>47.3</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39.866348533679961</v>
      </c>
      <c r="L17" s="75" t="s">
        <v>5</v>
      </c>
      <c r="M17" s="12" t="s">
        <v>9</v>
      </c>
      <c r="P17" s="251"/>
      <c r="Q17" s="333" t="s">
        <v>158</v>
      </c>
      <c r="R17" s="247"/>
      <c r="S17" s="247"/>
      <c r="T17" s="338" t="s">
        <v>174</v>
      </c>
      <c r="U17" s="190" t="s">
        <v>2</v>
      </c>
      <c r="V17" s="190" t="s">
        <v>118</v>
      </c>
      <c r="W17" s="336" t="s">
        <v>179</v>
      </c>
      <c r="X17" s="237"/>
      <c r="Y17" s="197"/>
      <c r="Z17" s="198"/>
      <c r="AD17" s="237"/>
      <c r="AE17" s="200"/>
      <c r="AF17" s="818" t="s">
        <v>161</v>
      </c>
      <c r="AG17" s="818"/>
      <c r="AH17" s="201"/>
      <c r="AI17" s="237"/>
      <c r="AJ17" s="237"/>
    </row>
    <row r="18" spans="2:36" ht="15" customHeight="1" thickTop="1" thickBot="1" x14ac:dyDescent="0.25">
      <c r="B18" s="32" t="s">
        <v>139</v>
      </c>
      <c r="D18" s="798">
        <f>D16*D17</f>
        <v>0</v>
      </c>
      <c r="E18" s="799"/>
      <c r="F18" s="5" t="s">
        <v>36</v>
      </c>
      <c r="H18" s="1"/>
      <c r="I18" s="23" t="s">
        <v>23</v>
      </c>
      <c r="J18" s="25">
        <f>D18*6*-1</f>
        <v>0</v>
      </c>
      <c r="K18" s="25">
        <f>K8</f>
        <v>48</v>
      </c>
      <c r="L18" s="92">
        <f>ROUND((J18*K18)/1000,5)</f>
        <v>0</v>
      </c>
      <c r="M18" s="29" t="s">
        <v>73</v>
      </c>
      <c r="P18" s="251"/>
      <c r="Q18" s="239" t="str">
        <f t="shared" si="0"/>
        <v>Ln18</v>
      </c>
      <c r="R18" s="257" t="str">
        <f>IF(D15&gt;T18,"ERR","OK")</f>
        <v>OK</v>
      </c>
      <c r="S18" s="548" t="s">
        <v>239</v>
      </c>
      <c r="T18" s="339">
        <v>40</v>
      </c>
      <c r="U18" s="309">
        <v>48</v>
      </c>
      <c r="V18" s="342">
        <f>T18*6</f>
        <v>240</v>
      </c>
      <c r="W18" s="300" t="s">
        <v>176</v>
      </c>
      <c r="X18" s="237"/>
      <c r="Y18" s="237"/>
      <c r="Z18" s="237"/>
      <c r="AA18" s="237"/>
      <c r="AB18" s="237"/>
      <c r="AC18" s="237"/>
      <c r="AD18" s="237"/>
      <c r="AE18" s="237"/>
      <c r="AF18" s="237"/>
      <c r="AG18" s="237"/>
      <c r="AH18" s="23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95">
        <f ca="1">SUM(J16:J18)</f>
        <v>1684.83</v>
      </c>
      <c r="K19" s="93"/>
      <c r="L19" s="24">
        <f>SUM(L16:L18)</f>
        <v>67.168019999999999</v>
      </c>
      <c r="M19" s="29" t="str">
        <f>IF(U8=U10,"Landing Weight Limit same as Takeoff Weight","Max Landing Weight  "&amp;TEXT(U10,"#,##0"))</f>
        <v>Landing Weight Limit same as Takeoff Weight</v>
      </c>
      <c r="P19" s="251"/>
      <c r="Q19" s="239" t="str">
        <f t="shared" si="0"/>
        <v>Ln19</v>
      </c>
      <c r="R19" s="258"/>
      <c r="S19" s="549" t="s">
        <v>240</v>
      </c>
      <c r="T19" s="339">
        <v>40</v>
      </c>
      <c r="U19" s="343"/>
      <c r="V19" s="342">
        <f>T19*6</f>
        <v>240</v>
      </c>
      <c r="W19" s="237"/>
      <c r="X19" s="237"/>
      <c r="Y19" s="237"/>
      <c r="Z19" s="237"/>
      <c r="AA19" s="291" t="str">
        <f ca="1">IF(AA20&gt;U8,"OUT","OK")</f>
        <v>OK</v>
      </c>
      <c r="AB19" s="250" t="s">
        <v>164</v>
      </c>
      <c r="AC19" s="237"/>
      <c r="AD19" s="237"/>
      <c r="AE19" s="291" t="str">
        <f ca="1">IF(AA19="out","out",IF(AND(AE20&gt;=AG20,AE20&lt;=AH20),"OK","OUT"))</f>
        <v>OK</v>
      </c>
      <c r="AF19" s="237"/>
      <c r="AG19" s="237"/>
      <c r="AH19" s="237"/>
      <c r="AI19" s="237"/>
      <c r="AJ19" s="237"/>
    </row>
    <row r="20" spans="2:36" ht="15" customHeight="1" thickTop="1" thickBot="1" x14ac:dyDescent="0.25">
      <c r="B20" s="135" t="s">
        <v>132</v>
      </c>
      <c r="I20" s="28" t="s">
        <v>8</v>
      </c>
      <c r="J20" s="94"/>
      <c r="K20" s="96">
        <f ca="1">(L19*1000)/J19</f>
        <v>39.866348533679961</v>
      </c>
      <c r="L20" s="76"/>
      <c r="M20" s="30" t="s">
        <v>65</v>
      </c>
      <c r="P20" s="251"/>
      <c r="Q20" s="375" t="str">
        <f t="shared" si="0"/>
        <v>Ln20</v>
      </c>
      <c r="R20" s="83" t="str">
        <f>IF(AND(T18=T19,LEFT(T20,1)="F"),"OK",IF(AND(T18&lt;&gt;T19,LEFT(T20,1)&lt;&gt;"F"),"OK","ERR"))</f>
        <v>OK</v>
      </c>
      <c r="S20" s="547" t="s">
        <v>188</v>
      </c>
      <c r="T20" s="546" t="s">
        <v>189</v>
      </c>
      <c r="U20" s="397" t="s">
        <v>190</v>
      </c>
      <c r="V20" s="412"/>
      <c r="W20" s="392"/>
      <c r="X20" s="237"/>
      <c r="Y20" s="270" t="s">
        <v>47</v>
      </c>
      <c r="Z20" s="288" t="s">
        <v>1</v>
      </c>
      <c r="AA20" s="316">
        <f ca="1">J16</f>
        <v>1684.83</v>
      </c>
      <c r="AB20" s="236"/>
      <c r="AC20" s="292"/>
      <c r="AD20" s="234" t="s">
        <v>40</v>
      </c>
      <c r="AE20" s="317">
        <f ca="1">K17</f>
        <v>39.866348533679961</v>
      </c>
      <c r="AF20" s="287" t="s">
        <v>61</v>
      </c>
      <c r="AG20" s="318">
        <f ca="1">VLOOKUP(AA20,Z23:AH26,8,TRUE)</f>
        <v>35</v>
      </c>
      <c r="AH20" s="319">
        <f ca="1">VLOOKUP(AA20,Z23:AH26,9,TRUE)</f>
        <v>47.3</v>
      </c>
      <c r="AI20" s="237"/>
      <c r="AJ20" s="237"/>
    </row>
    <row r="21" spans="2:36" ht="13.5" thickTop="1" x14ac:dyDescent="0.2">
      <c r="B21" s="770" t="str">
        <f>IF(R10&lt;&gt;"OK","Caution - Landing Weight",IF(R11&lt;&gt;"OK","Watch Early Landing Weight",""))</f>
        <v/>
      </c>
      <c r="C21" s="772" t="str">
        <f ca="1">IF(OR(AA19="out",AE19="out"),"CAUTION:   Wt or CG Out of Limits","")</f>
        <v/>
      </c>
      <c r="D21" s="772"/>
      <c r="E21" s="772"/>
      <c r="F21" s="773"/>
      <c r="P21" s="251"/>
      <c r="Q21" s="239" t="str">
        <f t="shared" si="0"/>
        <v>Ln21</v>
      </c>
      <c r="R21" s="258"/>
      <c r="S21" s="548" t="s">
        <v>191</v>
      </c>
      <c r="T21" s="339">
        <v>1.1000000000000001</v>
      </c>
      <c r="U21" s="343"/>
      <c r="V21" s="582">
        <f>ROUND(T21*6,0)*-1</f>
        <v>-7</v>
      </c>
      <c r="W21" s="237"/>
      <c r="X21" s="237"/>
      <c r="Y21" s="271" t="s">
        <v>48</v>
      </c>
      <c r="Z21" s="273"/>
      <c r="AA21" s="274" t="s">
        <v>67</v>
      </c>
      <c r="AB21" s="275"/>
      <c r="AC21" s="293"/>
      <c r="AD21" s="273"/>
      <c r="AE21" s="276" t="s">
        <v>66</v>
      </c>
      <c r="AF21" s="273"/>
      <c r="AG21" s="277" t="s">
        <v>46</v>
      </c>
      <c r="AH21" s="278" t="s">
        <v>46</v>
      </c>
      <c r="AI21" s="237"/>
      <c r="AJ21" s="237"/>
    </row>
    <row r="22" spans="2:36" ht="13.5" thickBot="1" x14ac:dyDescent="0.25">
      <c r="B22" s="771"/>
      <c r="C22" s="774"/>
      <c r="D22" s="774"/>
      <c r="E22" s="774"/>
      <c r="F22" s="775"/>
      <c r="P22" s="238"/>
      <c r="Q22" s="237"/>
      <c r="R22" s="258"/>
      <c r="S22" s="550" t="s">
        <v>15</v>
      </c>
      <c r="T22" s="258"/>
      <c r="U22" s="252"/>
      <c r="V22" s="258"/>
      <c r="W22" s="300" t="s">
        <v>177</v>
      </c>
      <c r="X22" s="237"/>
      <c r="Y22" s="271" t="s">
        <v>49</v>
      </c>
      <c r="Z22" s="279" t="s">
        <v>41</v>
      </c>
      <c r="AA22" s="279" t="s">
        <v>42</v>
      </c>
      <c r="AB22" s="280" t="s">
        <v>43</v>
      </c>
      <c r="AC22" s="281" t="s">
        <v>41</v>
      </c>
      <c r="AD22" s="282" t="s">
        <v>42</v>
      </c>
      <c r="AE22" s="283" t="s">
        <v>44</v>
      </c>
      <c r="AF22" s="284" t="s">
        <v>45</v>
      </c>
      <c r="AG22" s="285" t="s">
        <v>68</v>
      </c>
      <c r="AH22" s="286" t="s">
        <v>69</v>
      </c>
      <c r="AI22" s="237"/>
      <c r="AJ22" s="237"/>
    </row>
    <row r="23" spans="2:36" ht="13.5" thickTop="1" x14ac:dyDescent="0.2">
      <c r="B23" s="34" t="str">
        <f>IF(AND(R52&lt;&gt;"OK",R48&lt;&gt;"OK"),"Enter Fuel on Board","")</f>
        <v/>
      </c>
      <c r="C23" s="776" t="str">
        <f>IF(R53&lt;&gt;"OK","Fuel &lt;1-HR Reserve","")</f>
        <v/>
      </c>
      <c r="D23" s="776"/>
      <c r="E23" s="776"/>
      <c r="F23" s="777"/>
      <c r="I23" s="10" t="s">
        <v>64</v>
      </c>
      <c r="P23" s="238"/>
      <c r="Q23" s="240"/>
      <c r="R23" s="258"/>
      <c r="S23" s="550" t="s">
        <v>23</v>
      </c>
      <c r="T23" s="258"/>
      <c r="U23" s="252"/>
      <c r="V23" s="258"/>
      <c r="W23" s="300" t="s">
        <v>177</v>
      </c>
      <c r="X23" s="237"/>
      <c r="Y23" s="271" t="s">
        <v>50</v>
      </c>
      <c r="Z23" s="218">
        <f>Z15</f>
        <v>1500</v>
      </c>
      <c r="AA23" s="219">
        <f>Z12</f>
        <v>1948</v>
      </c>
      <c r="AB23" s="204">
        <f>+AA23-Z23</f>
        <v>448</v>
      </c>
      <c r="AC23" s="222">
        <f>AE16</f>
        <v>35</v>
      </c>
      <c r="AD23" s="223">
        <f>AE12</f>
        <v>35</v>
      </c>
      <c r="AE23" s="209">
        <f>AD23-AC23</f>
        <v>0</v>
      </c>
      <c r="AF23" s="210">
        <f>IF(OR(AB23=0,AE23=0),0,ROUND(AE23/AB23,5))</f>
        <v>0</v>
      </c>
      <c r="AG23" s="211">
        <f ca="1">IF(AND(AA20&gt;=Z23,AA20&lt;AA23),AC23+((AA20-Z23)*AF23),AC23)</f>
        <v>35</v>
      </c>
      <c r="AH23" s="212">
        <f>AD26</f>
        <v>47.3</v>
      </c>
      <c r="AI23" s="237"/>
      <c r="AJ23" s="237"/>
    </row>
    <row r="24" spans="2:36" ht="12.75" customHeight="1" x14ac:dyDescent="0.2">
      <c r="B24" s="77" t="str">
        <f>IF(AND(R52&lt;&gt;"OK",R49&lt;&gt;"OK"),"Enter GPH Usage","")</f>
        <v/>
      </c>
      <c r="C24" s="778" t="str">
        <f>IF(OR(R18&lt;&gt;"OK",R51&lt;&gt;"OK"),"Fueling Error","")</f>
        <v/>
      </c>
      <c r="D24" s="778"/>
      <c r="E24" s="778"/>
      <c r="F24" s="779"/>
      <c r="I24" s="9" t="s">
        <v>62</v>
      </c>
      <c r="P24" s="238"/>
      <c r="Q24" s="240"/>
      <c r="R24" s="240"/>
      <c r="S24" s="240"/>
      <c r="T24" s="240"/>
      <c r="U24" s="240"/>
      <c r="V24" s="240"/>
      <c r="W24" s="240"/>
      <c r="X24" s="237"/>
      <c r="Y24" s="271" t="s">
        <v>51</v>
      </c>
      <c r="Z24" s="202">
        <f>AA23</f>
        <v>1948</v>
      </c>
      <c r="AA24" s="220">
        <f>AA8</f>
        <v>2550</v>
      </c>
      <c r="AB24" s="205">
        <f>+AA24-Z24</f>
        <v>602</v>
      </c>
      <c r="AC24" s="207">
        <f>IF(AD24=AD23,AC23,AD23)</f>
        <v>35</v>
      </c>
      <c r="AD24" s="224">
        <f>AF8</f>
        <v>41</v>
      </c>
      <c r="AE24" s="209">
        <f>AD24-AC24</f>
        <v>6</v>
      </c>
      <c r="AF24" s="210">
        <f>IF(OR(AB24=0,AE24=0),0,ROUND(AE24/AB24,5))</f>
        <v>9.9699999999999997E-3</v>
      </c>
      <c r="AG24" s="211">
        <f ca="1">IF(AND(AA20&gt;=Z24,AA20&lt;AA24),AC24+((AA20-Z24)*AF24),AC24)</f>
        <v>35</v>
      </c>
      <c r="AH24" s="213">
        <f>AH23</f>
        <v>47.3</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238"/>
      <c r="Q25" s="333" t="s">
        <v>159</v>
      </c>
      <c r="R25" s="247"/>
      <c r="S25" s="247"/>
      <c r="T25" s="247"/>
      <c r="U25" s="190" t="s">
        <v>2</v>
      </c>
      <c r="V25" s="190" t="s">
        <v>1</v>
      </c>
      <c r="W25" s="336" t="s">
        <v>179</v>
      </c>
      <c r="X25" s="237"/>
      <c r="Y25" s="271" t="s">
        <v>52</v>
      </c>
      <c r="Z25" s="202">
        <f>AA24</f>
        <v>2550</v>
      </c>
      <c r="AA25" s="220">
        <f>AC8</f>
        <v>2550</v>
      </c>
      <c r="AB25" s="205">
        <f>+AA25-Z25</f>
        <v>0</v>
      </c>
      <c r="AC25" s="207">
        <f>IF(AD25=AD24,AC24,AD24)</f>
        <v>41</v>
      </c>
      <c r="AD25" s="224">
        <f>AH8</f>
        <v>47.3</v>
      </c>
      <c r="AE25" s="209">
        <f>AD25-AC25</f>
        <v>6.2999999999999972</v>
      </c>
      <c r="AF25" s="210">
        <f>IF(OR(AB25=0,AE25=0),0,ROUND(AE25/AB25,5))</f>
        <v>0</v>
      </c>
      <c r="AG25" s="211">
        <f ca="1">IF(AND(AA20&gt;=Z25,AA20&lt;AA25),AC25+((AA20-Z25)*AF25),AC25)</f>
        <v>41</v>
      </c>
      <c r="AH25" s="213">
        <f>AH24</f>
        <v>47.3</v>
      </c>
      <c r="AI25" s="237"/>
      <c r="AJ25" s="237"/>
    </row>
    <row r="26" spans="2:36" ht="13.5" thickTop="1" x14ac:dyDescent="0.2">
      <c r="I26" s="8" t="str">
        <f>"R Front:  "&amp;IF(E7=0,"---",E7&amp;"#")</f>
        <v>R Front:  ---</v>
      </c>
      <c r="P26" s="238"/>
      <c r="Q26" s="239" t="str">
        <f t="shared" si="0"/>
        <v>Ln26</v>
      </c>
      <c r="R26" s="258"/>
      <c r="S26" s="86" t="s">
        <v>11</v>
      </c>
      <c r="T26" s="261"/>
      <c r="U26" s="309">
        <v>37</v>
      </c>
      <c r="V26" s="342">
        <f>C7+E7</f>
        <v>0</v>
      </c>
      <c r="W26" s="334"/>
      <c r="X26" s="237"/>
      <c r="Y26" s="272" t="s">
        <v>52</v>
      </c>
      <c r="Z26" s="203">
        <f>AA25</f>
        <v>2550</v>
      </c>
      <c r="AA26" s="221">
        <f>AC16</f>
        <v>2550</v>
      </c>
      <c r="AB26" s="206">
        <f>+AA26-Z26</f>
        <v>0</v>
      </c>
      <c r="AC26" s="208">
        <f>IF(AD26=AD25,AC25,AD25)</f>
        <v>41</v>
      </c>
      <c r="AD26" s="225">
        <f>AH16</f>
        <v>47.3</v>
      </c>
      <c r="AE26" s="214">
        <f>AD26-AC26</f>
        <v>6.2999999999999972</v>
      </c>
      <c r="AF26" s="215">
        <f>IF(OR(AB26=0,AE26=0),0,ROUND(AE26/AB26,5))</f>
        <v>0</v>
      </c>
      <c r="AG26" s="216">
        <f ca="1">IF(AND(AA20&gt;=Z26,AA20&lt;AA26),AC26+((AA20-Z26)*AF26),AC26)</f>
        <v>41</v>
      </c>
      <c r="AH26" s="217">
        <f>AH25</f>
        <v>47.3</v>
      </c>
      <c r="AI26" s="237"/>
      <c r="AJ26" s="237"/>
    </row>
    <row r="27" spans="2:36" ht="12.75" customHeight="1" x14ac:dyDescent="0.2">
      <c r="B27" s="60" t="s">
        <v>79</v>
      </c>
      <c r="H27" s="1"/>
      <c r="I27" s="8" t="str">
        <f>"L  Rear:  "&amp;IF(C9=0,"---",C9&amp;"#")</f>
        <v>L  Rear:  ---</v>
      </c>
      <c r="P27" s="238"/>
      <c r="Q27" s="239" t="str">
        <f t="shared" si="0"/>
        <v>Ln27</v>
      </c>
      <c r="R27" s="258"/>
      <c r="S27" s="86" t="s">
        <v>12</v>
      </c>
      <c r="T27" s="261"/>
      <c r="U27" s="309">
        <v>73</v>
      </c>
      <c r="V27" s="342">
        <f>C9+E9</f>
        <v>0</v>
      </c>
      <c r="W27" s="334"/>
      <c r="X27" s="237"/>
      <c r="Y27" s="237"/>
      <c r="Z27" s="237"/>
      <c r="AA27" s="237"/>
      <c r="AB27" s="237"/>
      <c r="AC27" s="237"/>
      <c r="AD27" s="237"/>
      <c r="AE27" s="237"/>
      <c r="AF27" s="237"/>
      <c r="AG27" s="237"/>
      <c r="AH27" s="237"/>
      <c r="AI27" s="237"/>
      <c r="AJ27" s="237"/>
    </row>
    <row r="28" spans="2:36" ht="13.5" thickBot="1" x14ac:dyDescent="0.25">
      <c r="B28" s="22" t="s">
        <v>127</v>
      </c>
      <c r="D28" s="782">
        <f>U37+(J15*-1)</f>
        <v>865</v>
      </c>
      <c r="E28" s="783"/>
      <c r="F28" s="784" t="str">
        <f>"( "&amp;TEXT(U37,"#,##0")&amp;"+"&amp;J15*-1&amp;" )"</f>
        <v>( 858+7 )</v>
      </c>
      <c r="G28" s="785"/>
      <c r="H28" s="785"/>
      <c r="I28" s="8" t="str">
        <f>"R  Rear:  "&amp;IF(E9=0,"---",E9&amp;"#")</f>
        <v>R  Rear:  ---</v>
      </c>
      <c r="P28" s="238"/>
      <c r="Q28" s="237"/>
      <c r="R28" s="237"/>
      <c r="S28" s="237"/>
      <c r="T28" s="237"/>
      <c r="U28" s="343"/>
      <c r="V28" s="343"/>
      <c r="W28" s="237"/>
      <c r="X28" s="237"/>
      <c r="Y28" s="237"/>
      <c r="Z28" s="237"/>
      <c r="AA28" s="237"/>
      <c r="AB28" s="237"/>
      <c r="AC28" s="237"/>
      <c r="AD28" s="237"/>
      <c r="AE28" s="237"/>
      <c r="AF28" s="237"/>
      <c r="AG28" s="237"/>
      <c r="AH28" s="237"/>
      <c r="AI28" s="237"/>
      <c r="AJ28" s="237"/>
    </row>
    <row r="29" spans="2:36" ht="13.5" thickBot="1" x14ac:dyDescent="0.25">
      <c r="B29" s="22" t="s">
        <v>126</v>
      </c>
      <c r="D29" s="786">
        <f>SUM(J8:J13)</f>
        <v>0</v>
      </c>
      <c r="E29" s="787"/>
      <c r="I29" s="8" t="str">
        <f>"Bag 1:  "&amp;IF(C11=0,"---",C11&amp;"#")</f>
        <v>Bag 1:  ---</v>
      </c>
      <c r="P29" s="238"/>
      <c r="Q29" s="239" t="str">
        <f t="shared" si="0"/>
        <v>Ln29</v>
      </c>
      <c r="R29" s="83" t="str">
        <f>IF(C11&gt;V29,"ERR","OK")</f>
        <v>OK</v>
      </c>
      <c r="S29" s="86" t="s">
        <v>25</v>
      </c>
      <c r="T29" s="261"/>
      <c r="U29" s="309">
        <v>95</v>
      </c>
      <c r="V29" s="344">
        <v>120</v>
      </c>
      <c r="W29" s="300" t="s">
        <v>176</v>
      </c>
      <c r="X29" s="237"/>
      <c r="Y29" s="237"/>
      <c r="Z29" s="237"/>
      <c r="AA29" s="237"/>
      <c r="AB29" s="237"/>
      <c r="AC29" s="237"/>
      <c r="AD29" s="237"/>
      <c r="AE29" s="237"/>
      <c r="AF29" s="237"/>
      <c r="AG29" s="237"/>
      <c r="AH29" s="237"/>
      <c r="AI29" s="237"/>
      <c r="AJ29" s="237"/>
    </row>
    <row r="30" spans="2:36" ht="15.75" x14ac:dyDescent="0.3">
      <c r="B30" s="22" t="str">
        <f>IF(D29&lt;=D28,"Lbs before overweight","OVERWEIGHT")</f>
        <v>Lbs before overweight</v>
      </c>
      <c r="D30" s="788">
        <f>ABS(D28-D29)</f>
        <v>865</v>
      </c>
      <c r="E30" s="789"/>
      <c r="F30" s="790" t="str">
        <f>IF(D29&gt;D28,"# Over","")</f>
        <v/>
      </c>
      <c r="G30" s="791"/>
      <c r="H30" s="791"/>
      <c r="I30" s="8" t="str">
        <f>"Bag 2:  "&amp;IF(C12=0,"---",C12&amp;"#")</f>
        <v>Bag 2:  ---</v>
      </c>
      <c r="P30" s="238"/>
      <c r="Q30" s="239" t="str">
        <f t="shared" si="0"/>
        <v>Ln30</v>
      </c>
      <c r="R30" s="83" t="str">
        <f>IF(C12&gt;V30,"ERR","OK")</f>
        <v>OK</v>
      </c>
      <c r="S30" s="86" t="s">
        <v>26</v>
      </c>
      <c r="T30" s="85"/>
      <c r="U30" s="309">
        <v>123</v>
      </c>
      <c r="V30" s="344">
        <v>50</v>
      </c>
      <c r="W30" s="300" t="s">
        <v>176</v>
      </c>
      <c r="X30" s="237"/>
      <c r="Y30" s="237"/>
      <c r="Z30" s="245"/>
      <c r="AA30" s="246"/>
      <c r="AB30" s="295" t="s">
        <v>165</v>
      </c>
      <c r="AC30" s="247"/>
      <c r="AD30" s="247"/>
      <c r="AE30" s="247"/>
      <c r="AF30" s="247"/>
      <c r="AG30" s="247"/>
      <c r="AH30" s="237"/>
      <c r="AI30" s="237"/>
      <c r="AJ30" s="237"/>
    </row>
    <row r="31" spans="2:36" ht="15.75" thickBot="1" x14ac:dyDescent="0.3">
      <c r="P31" s="238"/>
      <c r="Q31" s="239" t="str">
        <f t="shared" si="0"/>
        <v>Ln31</v>
      </c>
      <c r="R31" s="83" t="str">
        <f>IF(C11+C12&gt;V31,"ERR","OK")</f>
        <v>OK</v>
      </c>
      <c r="S31" s="87" t="s">
        <v>30</v>
      </c>
      <c r="T31" s="85"/>
      <c r="U31" s="345"/>
      <c r="V31" s="344">
        <v>120</v>
      </c>
      <c r="W31" s="237"/>
      <c r="X31" s="237"/>
      <c r="Y31" s="237"/>
      <c r="Z31" s="237"/>
      <c r="AA31" s="237"/>
      <c r="AB31" s="237"/>
      <c r="AC31" s="243" t="s">
        <v>162</v>
      </c>
      <c r="AD31" s="237"/>
      <c r="AE31" s="237"/>
      <c r="AF31" s="237"/>
      <c r="AG31" s="246"/>
      <c r="AH31" s="237"/>
      <c r="AI31" s="237"/>
      <c r="AJ31" s="237"/>
    </row>
    <row r="32" spans="2:36" ht="13.5" thickTop="1" x14ac:dyDescent="0.2">
      <c r="I32" s="8"/>
      <c r="P32" s="238"/>
      <c r="Q32" s="239" t="str">
        <f t="shared" si="0"/>
        <v>Ln32</v>
      </c>
      <c r="R32" s="258"/>
      <c r="S32" s="337" t="s">
        <v>152</v>
      </c>
      <c r="T32" s="258"/>
      <c r="U32" s="345"/>
      <c r="V32" s="345"/>
      <c r="W32" s="237"/>
      <c r="X32" s="237"/>
      <c r="Y32" s="226"/>
      <c r="Z32" s="227"/>
      <c r="AA32" s="323">
        <v>2550</v>
      </c>
      <c r="AC32" s="191">
        <f>AA32</f>
        <v>2550</v>
      </c>
      <c r="AD32" s="237"/>
      <c r="AF32" s="325">
        <v>41</v>
      </c>
      <c r="AH32" s="315">
        <v>47.3</v>
      </c>
      <c r="AI32" s="237"/>
      <c r="AJ32" s="237"/>
    </row>
    <row r="33" spans="8:36" x14ac:dyDescent="0.2">
      <c r="I33" s="9" t="s">
        <v>63</v>
      </c>
      <c r="P33" s="238"/>
      <c r="Q33" s="239" t="str">
        <f t="shared" si="0"/>
        <v>Ln33</v>
      </c>
      <c r="R33" s="258"/>
      <c r="S33" s="337" t="s">
        <v>152</v>
      </c>
      <c r="T33" s="258"/>
      <c r="U33" s="345"/>
      <c r="V33" s="345"/>
      <c r="W33" s="237"/>
      <c r="X33" s="237"/>
      <c r="Y33" s="228"/>
      <c r="Z33" s="7"/>
      <c r="AD33" s="237"/>
      <c r="AI33" s="237"/>
      <c r="AJ33" s="237"/>
    </row>
    <row r="34" spans="8:36" ht="13.5" x14ac:dyDescent="0.25">
      <c r="I34" s="10" t="str">
        <f>"Start:  "&amp;TEXT(D15,("###.0"))&amp;" USG"</f>
        <v>Start:  .0 USG</v>
      </c>
      <c r="P34" s="238"/>
      <c r="Q34" s="239" t="str">
        <f t="shared" si="0"/>
        <v>Ln34</v>
      </c>
      <c r="R34" s="258"/>
      <c r="S34" s="337" t="s">
        <v>152</v>
      </c>
      <c r="T34" s="258"/>
      <c r="U34" s="345"/>
      <c r="V34" s="345"/>
      <c r="W34" s="237"/>
      <c r="X34" s="237"/>
      <c r="Y34" s="306" t="s">
        <v>155</v>
      </c>
      <c r="Z34" s="7"/>
      <c r="AD34" s="237"/>
      <c r="AI34" s="237"/>
      <c r="AJ34" s="237"/>
    </row>
    <row r="35" spans="8:36" ht="13.5" x14ac:dyDescent="0.25">
      <c r="I35" s="10" t="str">
        <f>"Used:    "&amp;TEXT(D18,("###.0"))&amp;" USG"</f>
        <v>Used:    .0 USG</v>
      </c>
      <c r="P35" s="238"/>
      <c r="Q35" s="237"/>
      <c r="R35" s="237"/>
      <c r="S35" s="237"/>
      <c r="T35" s="237"/>
      <c r="U35" s="237"/>
      <c r="V35" s="237"/>
      <c r="W35" s="237"/>
      <c r="X35" s="237"/>
      <c r="Y35" s="306" t="s">
        <v>50</v>
      </c>
      <c r="Z35" s="7"/>
      <c r="AA35" s="815" t="s">
        <v>1</v>
      </c>
      <c r="AB35" s="815"/>
      <c r="AD35" s="237"/>
      <c r="AE35" s="627">
        <f>AE40</f>
        <v>35</v>
      </c>
      <c r="AF35" s="815" t="s">
        <v>154</v>
      </c>
      <c r="AG35" s="815"/>
      <c r="AI35" s="237"/>
      <c r="AJ35" s="237"/>
    </row>
    <row r="36" spans="8:36" ht="13.5" x14ac:dyDescent="0.25">
      <c r="I36" s="10" t="str">
        <f>"Reserve:  "&amp;TEXT(D15-D18,"###.0")&amp;" USG"</f>
        <v>Reserve:  .0 USG</v>
      </c>
      <c r="P36" s="238"/>
      <c r="Q36" s="333" t="s">
        <v>160</v>
      </c>
      <c r="R36" s="247"/>
      <c r="S36" s="247"/>
      <c r="T36" s="247"/>
      <c r="U36" s="248" t="s">
        <v>1</v>
      </c>
      <c r="V36" s="237"/>
      <c r="W36" s="237"/>
      <c r="X36" s="237"/>
      <c r="Y36" s="306" t="s">
        <v>56</v>
      </c>
      <c r="Z36" s="323">
        <v>1948</v>
      </c>
      <c r="AA36" s="815" t="s">
        <v>153</v>
      </c>
      <c r="AB36" s="815"/>
      <c r="AD36" s="237"/>
      <c r="AF36" s="815" t="s">
        <v>153</v>
      </c>
      <c r="AG36" s="815"/>
      <c r="AI36" s="237"/>
      <c r="AJ36" s="237"/>
    </row>
    <row r="37" spans="8:36" ht="13.5" x14ac:dyDescent="0.25">
      <c r="P37" s="238"/>
      <c r="Q37" s="239" t="str">
        <f t="shared" ref="Q37:Q39" si="1">"Ln"&amp;ROW()</f>
        <v>Ln37</v>
      </c>
      <c r="R37" s="263"/>
      <c r="S37" s="264" t="s">
        <v>77</v>
      </c>
      <c r="T37" s="346"/>
      <c r="U37" s="347">
        <f>ROUNDDOWN(U8-U7,0)</f>
        <v>858</v>
      </c>
      <c r="V37" s="237"/>
      <c r="W37" s="237"/>
      <c r="X37" s="237"/>
      <c r="Y37" s="306" t="s">
        <v>57</v>
      </c>
      <c r="Z37" s="7"/>
      <c r="AC37" s="816" t="s">
        <v>157</v>
      </c>
      <c r="AD37" s="237"/>
      <c r="AH37" s="816" t="s">
        <v>157</v>
      </c>
      <c r="AI37" s="237"/>
      <c r="AJ37" s="237"/>
    </row>
    <row r="38" spans="8:36" ht="13.5" x14ac:dyDescent="0.25">
      <c r="I38" s="9" t="s">
        <v>72</v>
      </c>
      <c r="P38" s="238"/>
      <c r="Q38" s="239" t="str">
        <f t="shared" si="1"/>
        <v>Ln38</v>
      </c>
      <c r="R38" s="263"/>
      <c r="S38" s="264" t="s">
        <v>76</v>
      </c>
      <c r="T38" s="346"/>
      <c r="U38" s="347">
        <f>IF(T19=0,"",U37-V19)</f>
        <v>618</v>
      </c>
      <c r="V38" s="237"/>
      <c r="W38" s="237"/>
      <c r="X38" s="237"/>
      <c r="Y38" s="306" t="s">
        <v>156</v>
      </c>
      <c r="Z38" s="7"/>
      <c r="AC38" s="816"/>
      <c r="AD38" s="237"/>
      <c r="AH38" s="816"/>
      <c r="AI38" s="237"/>
      <c r="AJ38" s="237"/>
    </row>
    <row r="39" spans="8:36" ht="13.5" x14ac:dyDescent="0.25">
      <c r="H39" s="7"/>
      <c r="I39" s="63" t="str">
        <f>IF(T42="","","Max Flight (NO Res)")</f>
        <v/>
      </c>
      <c r="P39" s="238"/>
      <c r="Q39" s="239" t="str">
        <f t="shared" si="1"/>
        <v>Ln39</v>
      </c>
      <c r="R39" s="263"/>
      <c r="S39" s="264" t="s">
        <v>78</v>
      </c>
      <c r="T39" s="348"/>
      <c r="U39" s="347">
        <f>U37-V18</f>
        <v>618</v>
      </c>
      <c r="V39" s="237"/>
      <c r="W39" s="237"/>
      <c r="X39" s="237"/>
      <c r="Y39" s="306" t="s">
        <v>47</v>
      </c>
      <c r="Z39" s="7"/>
      <c r="AC39" s="819"/>
      <c r="AD39" s="237"/>
      <c r="AH39" s="819"/>
      <c r="AI39" s="237"/>
      <c r="AJ39" s="237"/>
    </row>
    <row r="40" spans="8:36" x14ac:dyDescent="0.2">
      <c r="H40" s="7"/>
      <c r="I40" s="21" t="str">
        <f>IF(T42="","","~"&amp;TEXT(T42,("##.0"))&amp;" hrs")</f>
        <v/>
      </c>
      <c r="P40" s="238"/>
      <c r="Q40" s="237"/>
      <c r="R40" s="237"/>
      <c r="S40" s="237"/>
      <c r="T40" s="343"/>
      <c r="U40" s="343"/>
      <c r="V40" s="237"/>
      <c r="W40" s="237"/>
      <c r="X40" s="237"/>
      <c r="Y40" s="228"/>
      <c r="Z40" s="323">
        <v>1500</v>
      </c>
      <c r="AC40" s="191">
        <f>AC32</f>
        <v>2550</v>
      </c>
      <c r="AD40" s="237"/>
      <c r="AE40" s="324">
        <v>35</v>
      </c>
      <c r="AF40" s="7"/>
      <c r="AG40" s="7"/>
      <c r="AH40" s="233">
        <f>AH32</f>
        <v>47.3</v>
      </c>
      <c r="AI40" s="242"/>
      <c r="AJ40" s="242"/>
    </row>
    <row r="41" spans="8:36" ht="14.25" thickBot="1" x14ac:dyDescent="0.3">
      <c r="I41" s="61" t="str">
        <f>IF(T42="","","@ "&amp;TEXT(D16,"##.0")&amp;" GPH")</f>
        <v/>
      </c>
      <c r="P41" s="238"/>
      <c r="Q41" s="333" t="s">
        <v>119</v>
      </c>
      <c r="R41" s="247"/>
      <c r="S41" s="248"/>
      <c r="T41" s="349" t="s">
        <v>121</v>
      </c>
      <c r="U41" s="343"/>
      <c r="V41" s="237"/>
      <c r="W41" s="237"/>
      <c r="X41" s="237"/>
      <c r="Y41" s="229"/>
      <c r="Z41" s="230"/>
      <c r="AD41" s="237"/>
      <c r="AE41" s="231"/>
      <c r="AF41" s="820" t="s">
        <v>161</v>
      </c>
      <c r="AG41" s="820"/>
      <c r="AH41" s="232"/>
      <c r="AI41" s="237"/>
      <c r="AJ41" s="237"/>
    </row>
    <row r="42" spans="8:36" ht="13.5" thickTop="1" x14ac:dyDescent="0.2">
      <c r="I42" s="65" t="str">
        <f>IF(R52&lt;&gt;"OK","","  At end of ")</f>
        <v/>
      </c>
      <c r="P42" s="238"/>
      <c r="Q42" s="239" t="str">
        <f t="shared" ref="Q42:Q43" si="2">"Ln"&amp;ROW()</f>
        <v>Ln42</v>
      </c>
      <c r="R42" s="265" t="s">
        <v>91</v>
      </c>
      <c r="S42" s="266"/>
      <c r="T42" s="350" t="str">
        <f>IF(AND(D15&gt;0,D18&gt;0),ROUND(D15/D16,3),"")</f>
        <v/>
      </c>
      <c r="U42" s="343"/>
      <c r="V42" s="237"/>
      <c r="W42" s="237"/>
      <c r="X42" s="237"/>
      <c r="Y42" s="237"/>
      <c r="Z42" s="237"/>
      <c r="AA42" s="237"/>
      <c r="AB42" s="237"/>
      <c r="AC42" s="237"/>
      <c r="AD42" s="237"/>
      <c r="AE42" s="237"/>
      <c r="AF42" s="237"/>
      <c r="AG42" s="237"/>
      <c r="AH42" s="237"/>
      <c r="AI42" s="237"/>
      <c r="AJ42" s="237"/>
    </row>
    <row r="43" spans="8:36" ht="13.5" thickBot="1" x14ac:dyDescent="0.25">
      <c r="I43" s="66" t="str">
        <f>IF(R52&lt;&gt;"OK","",TEXT(D17,"##.0")&amp;" Hr Trip . . ")</f>
        <v/>
      </c>
      <c r="P43" s="238"/>
      <c r="Q43" s="239" t="str">
        <f t="shared" si="2"/>
        <v>Ln43</v>
      </c>
      <c r="R43" s="265" t="s">
        <v>95</v>
      </c>
      <c r="S43" s="266"/>
      <c r="T43" s="350" t="str">
        <f>IF(AND(D15&gt;0,D16&gt;0,D18&gt;0),ROUND((D15-D18)/D16,3),"")</f>
        <v/>
      </c>
      <c r="U43" s="343"/>
      <c r="V43" s="237"/>
      <c r="W43" s="237"/>
      <c r="X43" s="237"/>
      <c r="Y43" s="237"/>
      <c r="Z43" s="237"/>
      <c r="AA43" s="290" t="str">
        <f>IF(U8=U10,"OK",IF(AA44&gt;U10,"OUT","OK"))</f>
        <v>OK</v>
      </c>
      <c r="AB43" s="250" t="s">
        <v>164</v>
      </c>
      <c r="AC43" s="237"/>
      <c r="AD43" s="237"/>
      <c r="AE43" s="290" t="str">
        <f>IF(U8=U10,"OK",IF(AND(AE44&gt;=AG44,AE44&lt;=AH44),"OK","OUT"))</f>
        <v>OK</v>
      </c>
      <c r="AF43" s="237"/>
      <c r="AG43" s="237"/>
      <c r="AH43" s="237"/>
      <c r="AI43" s="237"/>
      <c r="AJ43" s="237"/>
    </row>
    <row r="44" spans="8:36" ht="14.25" thickTop="1" thickBot="1" x14ac:dyDescent="0.25">
      <c r="I44" s="62" t="str">
        <f>IF(R52&lt;&gt;"OK","","Reserve is ~ "&amp;TEXT(T43,"##.0")&amp;" Hrs")</f>
        <v/>
      </c>
      <c r="P44" s="238"/>
      <c r="Q44" s="237"/>
      <c r="R44" s="237"/>
      <c r="S44" s="237"/>
      <c r="T44" s="237"/>
      <c r="U44" s="237"/>
      <c r="V44" s="237"/>
      <c r="W44" s="237"/>
      <c r="X44" s="237"/>
      <c r="Y44" s="270" t="s">
        <v>53</v>
      </c>
      <c r="Z44" s="288" t="s">
        <v>1</v>
      </c>
      <c r="AA44" s="320">
        <f ca="1">J19</f>
        <v>1684.83</v>
      </c>
      <c r="AB44" s="236"/>
      <c r="AC44" s="292"/>
      <c r="AD44" s="289" t="s">
        <v>40</v>
      </c>
      <c r="AE44" s="320">
        <f ca="1">K20</f>
        <v>39.866348533679961</v>
      </c>
      <c r="AF44" s="287" t="s">
        <v>61</v>
      </c>
      <c r="AG44" s="321">
        <f ca="1">VLOOKUP(AA44,Z47:AH50,8)</f>
        <v>35</v>
      </c>
      <c r="AH44" s="322">
        <f ca="1">VLOOKUP(AA44,Z47:AH50,9)</f>
        <v>47.3</v>
      </c>
      <c r="AI44" s="237"/>
      <c r="AJ44" s="237"/>
    </row>
    <row r="45" spans="8:36" ht="13.5" thickTop="1" x14ac:dyDescent="0.2">
      <c r="I45" s="64" t="str">
        <f>IF(R52&lt;&gt;"OK","",IF(R53&lt;&gt;"OK","Caution: &lt; 1 HR",""))</f>
        <v/>
      </c>
      <c r="P45" s="238"/>
      <c r="Q45" s="333" t="s">
        <v>175</v>
      </c>
      <c r="R45" s="247"/>
      <c r="S45" s="248"/>
      <c r="T45" s="248"/>
      <c r="U45" s="237"/>
      <c r="V45" s="237"/>
      <c r="W45" s="237"/>
      <c r="X45" s="237"/>
      <c r="Y45" s="271" t="s">
        <v>48</v>
      </c>
      <c r="Z45" s="273"/>
      <c r="AA45" s="274" t="s">
        <v>67</v>
      </c>
      <c r="AB45" s="275"/>
      <c r="AC45" s="293"/>
      <c r="AD45" s="273"/>
      <c r="AE45" s="276" t="s">
        <v>66</v>
      </c>
      <c r="AF45" s="273"/>
      <c r="AG45" s="277" t="s">
        <v>46</v>
      </c>
      <c r="AH45" s="278" t="s">
        <v>46</v>
      </c>
      <c r="AI45" s="237"/>
      <c r="AJ45" s="237"/>
    </row>
    <row r="46" spans="8:36" ht="13.5" thickBot="1" x14ac:dyDescent="0.25">
      <c r="P46" s="238"/>
      <c r="Q46" s="239" t="str">
        <f t="shared" ref="Q46:Q53" si="3">"Ln"&amp;ROW()</f>
        <v>Ln46</v>
      </c>
      <c r="R46" s="262" t="str">
        <f>IF(AND(C7="",(E7+C9+E9)&gt;0),"WARN","OK")</f>
        <v>OK</v>
      </c>
      <c r="S46" s="267" t="s">
        <v>89</v>
      </c>
      <c r="T46" s="268"/>
      <c r="U46" s="237"/>
      <c r="V46" s="237"/>
      <c r="W46" s="237"/>
      <c r="X46" s="237"/>
      <c r="Y46" s="271" t="s">
        <v>54</v>
      </c>
      <c r="Z46" s="279" t="s">
        <v>41</v>
      </c>
      <c r="AA46" s="279" t="s">
        <v>42</v>
      </c>
      <c r="AB46" s="280" t="s">
        <v>43</v>
      </c>
      <c r="AC46" s="281" t="s">
        <v>41</v>
      </c>
      <c r="AD46" s="282" t="s">
        <v>42</v>
      </c>
      <c r="AE46" s="283" t="s">
        <v>44</v>
      </c>
      <c r="AF46" s="284" t="s">
        <v>45</v>
      </c>
      <c r="AG46" s="285" t="s">
        <v>68</v>
      </c>
      <c r="AH46" s="286" t="s">
        <v>69</v>
      </c>
      <c r="AI46" s="237"/>
      <c r="AJ46" s="237"/>
    </row>
    <row r="47" spans="8:36" ht="13.5" thickTop="1" x14ac:dyDescent="0.2">
      <c r="P47" s="238"/>
      <c r="Q47" s="239" t="str">
        <f t="shared" si="3"/>
        <v>Ln47</v>
      </c>
      <c r="R47" s="262" t="str">
        <f>IF(C7+E7+C9+E9&gt;0,"INFO","OK")</f>
        <v>OK</v>
      </c>
      <c r="S47" s="267" t="s">
        <v>92</v>
      </c>
      <c r="T47" s="268"/>
      <c r="U47" s="237"/>
      <c r="V47" s="237"/>
      <c r="W47" s="237"/>
      <c r="X47" s="237"/>
      <c r="Y47" s="271" t="s">
        <v>55</v>
      </c>
      <c r="Z47" s="218">
        <f>Z40</f>
        <v>1500</v>
      </c>
      <c r="AA47" s="219">
        <f>Z36</f>
        <v>1948</v>
      </c>
      <c r="AB47" s="204">
        <f>+AA47-Z47</f>
        <v>448</v>
      </c>
      <c r="AC47" s="222">
        <f>AE40</f>
        <v>35</v>
      </c>
      <c r="AD47" s="223">
        <f>AE35</f>
        <v>35</v>
      </c>
      <c r="AE47" s="209">
        <f>AD47-AC47</f>
        <v>0</v>
      </c>
      <c r="AF47" s="210">
        <f>IF(OR(AB47=0,AE47=0),0,ROUND(AE47/AB47,5))</f>
        <v>0</v>
      </c>
      <c r="AG47" s="211">
        <f ca="1">IF(AND(AA44&gt;=Z47,AA44&lt;AA47),AC47+((AA44-Z47)*AF47),AC47)</f>
        <v>35</v>
      </c>
      <c r="AH47" s="212">
        <f>AD50</f>
        <v>47.3</v>
      </c>
      <c r="AI47" s="237"/>
      <c r="AJ47" s="237"/>
    </row>
    <row r="48" spans="8:36" x14ac:dyDescent="0.2">
      <c r="P48" s="238"/>
      <c r="Q48" s="239" t="str">
        <f t="shared" si="3"/>
        <v>Ln48</v>
      </c>
      <c r="R48" s="262" t="str">
        <f>IF(AND(C7&gt;0,D15=0),"WARN","OK")</f>
        <v>OK</v>
      </c>
      <c r="S48" s="253" t="s">
        <v>111</v>
      </c>
      <c r="T48" s="269"/>
      <c r="U48" s="237"/>
      <c r="V48" s="237"/>
      <c r="W48" s="237"/>
      <c r="X48" s="237"/>
      <c r="Y48" s="271" t="s">
        <v>56</v>
      </c>
      <c r="Z48" s="202">
        <f>AA47</f>
        <v>1948</v>
      </c>
      <c r="AA48" s="220">
        <f>AA32</f>
        <v>2550</v>
      </c>
      <c r="AB48" s="205">
        <f>+AA48-Z48</f>
        <v>602</v>
      </c>
      <c r="AC48" s="207">
        <f>IF(AD48=AD47,AC47,AD47)</f>
        <v>35</v>
      </c>
      <c r="AD48" s="224">
        <f>AF32</f>
        <v>41</v>
      </c>
      <c r="AE48" s="209">
        <f>AD48-AC48</f>
        <v>6</v>
      </c>
      <c r="AF48" s="210">
        <f>IF(OR(AB48=0,AE48=0),0,ROUND(AE48/AB48,5))</f>
        <v>9.9699999999999997E-3</v>
      </c>
      <c r="AG48" s="211">
        <f ca="1">IF(AND(AA44&gt;=Z48,AA44&lt;AA48),AC48+((AA44-Z48)*AF48),AC48)</f>
        <v>35</v>
      </c>
      <c r="AH48" s="213">
        <f>AH47</f>
        <v>47.3</v>
      </c>
      <c r="AI48" s="237"/>
      <c r="AJ48" s="237"/>
    </row>
    <row r="49" spans="8:36" x14ac:dyDescent="0.2">
      <c r="P49" s="238"/>
      <c r="Q49" s="239" t="str">
        <f t="shared" si="3"/>
        <v>Ln49</v>
      </c>
      <c r="R49" s="262" t="str">
        <f>IF(AND(C7&gt;0,D16=0),"WARN","OK")</f>
        <v>OK</v>
      </c>
      <c r="S49" s="253" t="s">
        <v>113</v>
      </c>
      <c r="T49" s="269"/>
      <c r="U49" s="237"/>
      <c r="V49" s="237"/>
      <c r="W49" s="237"/>
      <c r="X49" s="237"/>
      <c r="Y49" s="271" t="s">
        <v>54</v>
      </c>
      <c r="Z49" s="202">
        <f>AA48</f>
        <v>2550</v>
      </c>
      <c r="AA49" s="220">
        <f>AC32</f>
        <v>2550</v>
      </c>
      <c r="AB49" s="205">
        <f>+AA49-Z49</f>
        <v>0</v>
      </c>
      <c r="AC49" s="207">
        <f>IF(AD49=AD48,AC48,AD48)</f>
        <v>41</v>
      </c>
      <c r="AD49" s="224">
        <f>AH32</f>
        <v>47.3</v>
      </c>
      <c r="AE49" s="209">
        <f>AD49-AC49</f>
        <v>6.2999999999999972</v>
      </c>
      <c r="AF49" s="210">
        <f>IF(OR(AB49=0,AE49=0),0,ROUND(AE49/AB49,5))</f>
        <v>0</v>
      </c>
      <c r="AG49" s="211">
        <f ca="1">IF(AND(AA44&gt;=Z49,AA44&lt;AA49),AC49+((AA44-Z49)*AF49),AC49)</f>
        <v>41</v>
      </c>
      <c r="AH49" s="213">
        <f>AH48</f>
        <v>47.3</v>
      </c>
      <c r="AI49" s="237"/>
      <c r="AJ49" s="237"/>
    </row>
    <row r="50" spans="8:36" ht="13.5" thickBot="1" x14ac:dyDescent="0.25">
      <c r="P50" s="238"/>
      <c r="Q50" s="239" t="str">
        <f t="shared" si="3"/>
        <v>Ln50</v>
      </c>
      <c r="R50" s="262" t="str">
        <f>IF(AND(C7&gt;0,D17=0),"WARN","OK")</f>
        <v>OK</v>
      </c>
      <c r="S50" s="253" t="s">
        <v>112</v>
      </c>
      <c r="T50" s="269"/>
      <c r="U50" s="237"/>
      <c r="V50" s="237"/>
      <c r="W50" s="237"/>
      <c r="X50" s="237"/>
      <c r="Y50" s="272" t="s">
        <v>57</v>
      </c>
      <c r="Z50" s="203">
        <f>AA49</f>
        <v>2550</v>
      </c>
      <c r="AA50" s="221">
        <f>AC40</f>
        <v>2550</v>
      </c>
      <c r="AB50" s="206">
        <f>+AA50-Z50</f>
        <v>0</v>
      </c>
      <c r="AC50" s="208">
        <f>IF(AD50=AD49,AC49,AD49)</f>
        <v>41</v>
      </c>
      <c r="AD50" s="225">
        <f>AH40</f>
        <v>47.3</v>
      </c>
      <c r="AE50" s="214">
        <f>AD50-AC50</f>
        <v>6.2999999999999972</v>
      </c>
      <c r="AF50" s="215">
        <f>IF(OR(AB50=0,AE50=0),0,ROUND(AE50/AB50,5))</f>
        <v>0</v>
      </c>
      <c r="AG50" s="216">
        <f ca="1">IF(AND(AA44&gt;=Z50,AA44&lt;AA50),AC50+((AA44-Z50)*AF50),AC50)</f>
        <v>41</v>
      </c>
      <c r="AH50" s="217">
        <f>AH49</f>
        <v>47.3</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238"/>
      <c r="Q51" s="239" t="str">
        <f t="shared" si="3"/>
        <v>Ln51</v>
      </c>
      <c r="R51" s="262" t="str">
        <f>IF(D18&gt;D15,"ERR","OK")</f>
        <v>OK</v>
      </c>
      <c r="S51" s="253" t="s">
        <v>94</v>
      </c>
      <c r="T51" s="269"/>
      <c r="U51" s="237"/>
      <c r="V51" s="237"/>
      <c r="W51" s="237"/>
      <c r="X51" s="237"/>
      <c r="Y51" s="237"/>
      <c r="Z51" s="237"/>
      <c r="AA51" s="237"/>
      <c r="AB51" s="237"/>
      <c r="AC51" s="237"/>
      <c r="AD51" s="237"/>
      <c r="AE51" s="237"/>
      <c r="AF51" s="237"/>
      <c r="AG51" s="237"/>
      <c r="AH51" s="237"/>
      <c r="AI51" s="237"/>
      <c r="AJ51" s="237"/>
    </row>
    <row r="52" spans="8:36" x14ac:dyDescent="0.2">
      <c r="I52" s="758"/>
      <c r="J52" s="762"/>
      <c r="K52" s="762"/>
      <c r="L52" s="762"/>
      <c r="M52" s="763"/>
      <c r="P52" s="238"/>
      <c r="Q52" s="239" t="str">
        <f t="shared" si="3"/>
        <v>Ln52</v>
      </c>
      <c r="R52" s="262" t="str">
        <f>IF(OR(D15=0,D16=0,D17=0),"WARN","OK")</f>
        <v>WARN</v>
      </c>
      <c r="S52" s="253" t="s">
        <v>110</v>
      </c>
      <c r="T52" s="269"/>
      <c r="U52" s="237"/>
      <c r="V52" s="237"/>
      <c r="W52" s="237"/>
      <c r="X52" s="237"/>
      <c r="Y52" s="237"/>
      <c r="Z52" s="237"/>
      <c r="AA52" s="237"/>
      <c r="AB52" s="237"/>
      <c r="AC52" s="237"/>
      <c r="AD52" s="237"/>
      <c r="AE52" s="237"/>
      <c r="AF52" s="237"/>
      <c r="AG52" s="237"/>
      <c r="AH52" s="237"/>
      <c r="AI52" s="237"/>
      <c r="AJ52" s="237"/>
    </row>
    <row r="53" spans="8:36" ht="13.5" thickBot="1" x14ac:dyDescent="0.25">
      <c r="I53" s="759"/>
      <c r="J53" s="764"/>
      <c r="K53" s="764"/>
      <c r="L53" s="764"/>
      <c r="M53" s="765"/>
      <c r="P53" s="238"/>
      <c r="Q53" s="239" t="str">
        <f t="shared" si="3"/>
        <v>Ln53</v>
      </c>
      <c r="R53" s="262" t="str">
        <f>IF(AND(D15&gt;0,D16&gt;0,D18&gt;0,T43&lt;1),"WARN","OK")</f>
        <v>OK</v>
      </c>
      <c r="S53" s="253" t="s">
        <v>90</v>
      </c>
      <c r="T53" s="269"/>
      <c r="U53" s="237"/>
      <c r="V53" s="237"/>
      <c r="W53" s="237"/>
      <c r="X53" s="237"/>
      <c r="Y53" s="237"/>
      <c r="Z53" s="237"/>
      <c r="AA53" s="237"/>
      <c r="AB53" s="237"/>
      <c r="AC53" s="237"/>
      <c r="AD53" s="237"/>
      <c r="AE53" s="237"/>
      <c r="AF53" s="237"/>
      <c r="AG53" s="237"/>
      <c r="AH53" s="237"/>
      <c r="AI53" s="237"/>
      <c r="AJ53" s="237"/>
    </row>
    <row r="54" spans="8:36" ht="13.5" thickTop="1" x14ac:dyDescent="0.2">
      <c r="I54" s="650" t="str">
        <f>IF(C4&lt;&gt;9999,"","Env "&amp;Z23&amp;"  "&amp;AA23&amp;"  "&amp;AA24&amp;"  "&amp;AA25&amp;"  "&amp;AA26&amp;"     "&amp;AC23&amp;"  "&amp;AD23&amp;"  "&amp;AD24&amp;"  "&amp;AD25&amp;"  "&amp;AD26)</f>
        <v/>
      </c>
      <c r="P54" s="238"/>
      <c r="Q54" s="237"/>
      <c r="R54" s="237"/>
      <c r="S54" s="237"/>
      <c r="T54" s="237"/>
      <c r="U54" s="237"/>
      <c r="V54" s="237"/>
      <c r="W54" s="237"/>
      <c r="X54" s="237"/>
      <c r="Y54" s="237"/>
      <c r="Z54" s="237"/>
      <c r="AA54" s="237"/>
      <c r="AB54" s="237"/>
      <c r="AC54" s="237"/>
      <c r="AD54" s="237"/>
      <c r="AE54" s="237"/>
      <c r="AF54" s="237"/>
      <c r="AG54" s="237"/>
      <c r="AH54" s="237"/>
      <c r="AI54" s="237"/>
      <c r="AJ54" s="237"/>
    </row>
    <row r="55" spans="8:36" x14ac:dyDescent="0.2">
      <c r="I55" s="651" t="str">
        <f>IF(C4&lt;&gt;9999,"","Fuel  T "&amp;T19&amp;"   F "&amp;T18&amp;"      Load   0 "&amp;U37&amp;"  T "&amp;U38&amp;"  F "&amp;U39)</f>
        <v/>
      </c>
      <c r="P55" s="238"/>
      <c r="Q55" s="237"/>
      <c r="R55" s="237"/>
      <c r="S55" s="237"/>
      <c r="T55" s="237"/>
      <c r="U55" s="237"/>
      <c r="V55" s="237"/>
      <c r="W55" s="237"/>
      <c r="X55" s="237"/>
      <c r="Y55" s="237"/>
      <c r="Z55" s="237"/>
      <c r="AA55" s="237"/>
      <c r="AB55" s="237"/>
      <c r="AC55" s="237"/>
      <c r="AD55" s="237"/>
      <c r="AE55" s="237"/>
      <c r="AF55" s="237"/>
      <c r="AG55" s="237"/>
      <c r="AH55" s="237"/>
      <c r="AI55" s="237"/>
      <c r="AJ55" s="237"/>
    </row>
    <row r="56" spans="8:36" x14ac:dyDescent="0.2">
      <c r="P56" s="238"/>
      <c r="Q56" s="237"/>
      <c r="R56" s="237"/>
      <c r="S56" s="237"/>
      <c r="T56" s="237"/>
      <c r="U56" s="237"/>
      <c r="V56" s="237"/>
      <c r="W56" s="237"/>
      <c r="X56" s="237"/>
      <c r="Y56" s="237"/>
      <c r="Z56" s="237"/>
      <c r="AA56" s="237"/>
      <c r="AB56" s="237"/>
      <c r="AC56" s="237"/>
      <c r="AD56" s="237"/>
      <c r="AE56" s="237"/>
      <c r="AF56" s="237"/>
      <c r="AG56" s="237"/>
      <c r="AH56" s="237"/>
      <c r="AI56" s="237"/>
      <c r="AJ56" s="237"/>
    </row>
  </sheetData>
  <sheetProtection algorithmName="SHA-512" hashValue="7L0Pij8lvB+S1npWP3sB1xnnbYPDfIxlF+msY0GjCGKY6uEE1bSoImr+VQEQZqJ9Q1lYtemMDvCXYm0puQ32vQ==" saltValue="LUj983y7IRLSMGFRflwsAg==" spinCount="100000" sheet="1" selectLockedCells="1"/>
  <mergeCells count="44">
    <mergeCell ref="C4:D4"/>
    <mergeCell ref="B1:H1"/>
    <mergeCell ref="C2:E2"/>
    <mergeCell ref="J2:K2"/>
    <mergeCell ref="D3:F3"/>
    <mergeCell ref="J3:K3"/>
    <mergeCell ref="B7:B8"/>
    <mergeCell ref="C7:D8"/>
    <mergeCell ref="E7:F8"/>
    <mergeCell ref="B9:B10"/>
    <mergeCell ref="C9:D10"/>
    <mergeCell ref="E9:F10"/>
    <mergeCell ref="D18:E18"/>
    <mergeCell ref="C11:F11"/>
    <mergeCell ref="AA11:AB11"/>
    <mergeCell ref="AF11:AG11"/>
    <mergeCell ref="C12:F12"/>
    <mergeCell ref="AA12:AB12"/>
    <mergeCell ref="AF12:AG12"/>
    <mergeCell ref="AC13:AC15"/>
    <mergeCell ref="AH13:AH15"/>
    <mergeCell ref="D15:E15"/>
    <mergeCell ref="D16:E16"/>
    <mergeCell ref="D17:E17"/>
    <mergeCell ref="AF17:AG17"/>
    <mergeCell ref="AH37:AH39"/>
    <mergeCell ref="C25:F25"/>
    <mergeCell ref="D28:E28"/>
    <mergeCell ref="F28:H28"/>
    <mergeCell ref="D29:E29"/>
    <mergeCell ref="D30:E30"/>
    <mergeCell ref="F30:H30"/>
    <mergeCell ref="AF35:AG35"/>
    <mergeCell ref="AA36:AB36"/>
    <mergeCell ref="AF36:AG36"/>
    <mergeCell ref="AC37:AC39"/>
    <mergeCell ref="AF41:AG41"/>
    <mergeCell ref="AA35:AB35"/>
    <mergeCell ref="I51:I53"/>
    <mergeCell ref="J51:M53"/>
    <mergeCell ref="B21:B22"/>
    <mergeCell ref="C21:F22"/>
    <mergeCell ref="C23:F23"/>
    <mergeCell ref="C24:F24"/>
  </mergeCells>
  <conditionalFormatting sqref="T37:T38">
    <cfRule type="expression" dxfId="981" priority="14" stopIfTrue="1">
      <formula>S37=""</formula>
    </cfRule>
  </conditionalFormatting>
  <conditionalFormatting sqref="I26 I28">
    <cfRule type="expression" dxfId="980" priority="15" stopIfTrue="1">
      <formula>E7=""</formula>
    </cfRule>
  </conditionalFormatting>
  <conditionalFormatting sqref="I27 I29:I30">
    <cfRule type="expression" dxfId="979" priority="16" stopIfTrue="1">
      <formula>C9=""</formula>
    </cfRule>
  </conditionalFormatting>
  <conditionalFormatting sqref="D12">
    <cfRule type="expression" dxfId="978" priority="17" stopIfTrue="1">
      <formula>OR(D12&gt;#REF!,D11+D12&gt;#REF!)</formula>
    </cfRule>
  </conditionalFormatting>
  <conditionalFormatting sqref="D11">
    <cfRule type="expression" dxfId="977" priority="18" stopIfTrue="1">
      <formula>OR(D11&gt;#REF!,D11+D12&gt;#REF!)</formula>
    </cfRule>
  </conditionalFormatting>
  <conditionalFormatting sqref="U37:U39 V19">
    <cfRule type="expression" dxfId="976" priority="19" stopIfTrue="1">
      <formula>S19=""</formula>
    </cfRule>
  </conditionalFormatting>
  <conditionalFormatting sqref="C25">
    <cfRule type="expression" dxfId="975" priority="20" stopIfTrue="1">
      <formula>AND(C7="",E7+C9+E9&gt;0)</formula>
    </cfRule>
  </conditionalFormatting>
  <conditionalFormatting sqref="B30">
    <cfRule type="expression" dxfId="974" priority="21" stopIfTrue="1">
      <formula>D29&gt;D28</formula>
    </cfRule>
  </conditionalFormatting>
  <conditionalFormatting sqref="D30:E30">
    <cfRule type="expression" dxfId="973" priority="22" stopIfTrue="1">
      <formula>D29&gt;D28</formula>
    </cfRule>
  </conditionalFormatting>
  <conditionalFormatting sqref="F30:H30">
    <cfRule type="expression" dxfId="972" priority="23" stopIfTrue="1">
      <formula>D29&gt;D28</formula>
    </cfRule>
  </conditionalFormatting>
  <conditionalFormatting sqref="B23 B25">
    <cfRule type="cellIs" dxfId="971" priority="24" stopIfTrue="1" operator="notEqual">
      <formula>""</formula>
    </cfRule>
  </conditionalFormatting>
  <conditionalFormatting sqref="B24">
    <cfRule type="cellIs" dxfId="970" priority="25" stopIfTrue="1" operator="notEqual">
      <formula>""</formula>
    </cfRule>
  </conditionalFormatting>
  <conditionalFormatting sqref="R46:R53 R29:R31 R8 R10">
    <cfRule type="cellIs" dxfId="969" priority="26" stopIfTrue="1" operator="notEqual">
      <formula>""</formula>
    </cfRule>
  </conditionalFormatting>
  <conditionalFormatting sqref="S37:S39">
    <cfRule type="expression" dxfId="968" priority="27" stopIfTrue="1">
      <formula>S37=""</formula>
    </cfRule>
  </conditionalFormatting>
  <conditionalFormatting sqref="R18">
    <cfRule type="cellIs" dxfId="967" priority="28" stopIfTrue="1" operator="notEqual">
      <formula>""</formula>
    </cfRule>
  </conditionalFormatting>
  <conditionalFormatting sqref="J5">
    <cfRule type="expression" dxfId="966" priority="29" stopIfTrue="1">
      <formula>expired=TRUE</formula>
    </cfRule>
  </conditionalFormatting>
  <conditionalFormatting sqref="B1:H1">
    <cfRule type="expression" dxfId="965" priority="30" stopIfTrue="1">
      <formula>expired=TRUE</formula>
    </cfRule>
    <cfRule type="expression" dxfId="964" priority="31" stopIfTrue="1">
      <formula>old_ver=TRUE</formula>
    </cfRule>
  </conditionalFormatting>
  <conditionalFormatting sqref="I3">
    <cfRule type="expression" dxfId="963" priority="32" stopIfTrue="1">
      <formula>D3=""</formula>
    </cfRule>
  </conditionalFormatting>
  <conditionalFormatting sqref="J2">
    <cfRule type="expression" dxfId="962" priority="33" stopIfTrue="1">
      <formula>D3=""</formula>
    </cfRule>
  </conditionalFormatting>
  <conditionalFormatting sqref="L2">
    <cfRule type="expression" dxfId="961" priority="34" stopIfTrue="1">
      <formula>D3=""</formula>
    </cfRule>
  </conditionalFormatting>
  <conditionalFormatting sqref="L3">
    <cfRule type="expression" dxfId="960" priority="35" stopIfTrue="1">
      <formula>D3=""</formula>
    </cfRule>
  </conditionalFormatting>
  <conditionalFormatting sqref="J3:K3">
    <cfRule type="expression" dxfId="959" priority="36" stopIfTrue="1">
      <formula>D3=""</formula>
    </cfRule>
  </conditionalFormatting>
  <conditionalFormatting sqref="I2">
    <cfRule type="expression" dxfId="958" priority="37" stopIfTrue="1">
      <formula>AND(D3="",C2="")</formula>
    </cfRule>
  </conditionalFormatting>
  <conditionalFormatting sqref="E21:E22">
    <cfRule type="expression" dxfId="957" priority="38" stopIfTrue="1">
      <formula>OR(AC19="out",AF19="out")</formula>
    </cfRule>
  </conditionalFormatting>
  <conditionalFormatting sqref="M17">
    <cfRule type="expression" dxfId="956" priority="39" stopIfTrue="1">
      <formula>AE19="out"</formula>
    </cfRule>
  </conditionalFormatting>
  <conditionalFormatting sqref="K17">
    <cfRule type="expression" dxfId="955" priority="40" stopIfTrue="1">
      <formula>AE19&lt;&gt;"OK"</formula>
    </cfRule>
  </conditionalFormatting>
  <conditionalFormatting sqref="F21:F22">
    <cfRule type="expression" dxfId="954" priority="41" stopIfTrue="1">
      <formula>OR(AE19="out",AG19="out")</formula>
    </cfRule>
  </conditionalFormatting>
  <conditionalFormatting sqref="C21:C22">
    <cfRule type="expression" dxfId="953" priority="42" stopIfTrue="1">
      <formula>OR(AA19="out",AE19="out")</formula>
    </cfRule>
  </conditionalFormatting>
  <conditionalFormatting sqref="D21:D22">
    <cfRule type="expression" dxfId="952" priority="43" stopIfTrue="1">
      <formula>OR(AB19="out",#REF!="out")</formula>
    </cfRule>
  </conditionalFormatting>
  <conditionalFormatting sqref="F12">
    <cfRule type="expression" dxfId="951" priority="44" stopIfTrue="1">
      <formula>OR(F12&gt;#REF!,F11+F12&gt;#REF!)</formula>
    </cfRule>
  </conditionalFormatting>
  <conditionalFormatting sqref="F11">
    <cfRule type="expression" dxfId="950" priority="45" stopIfTrue="1">
      <formula>OR(F11&gt;#REF!,F11+F12&gt;#REF!)</formula>
    </cfRule>
  </conditionalFormatting>
  <conditionalFormatting sqref="K20">
    <cfRule type="expression" dxfId="949" priority="46" stopIfTrue="1">
      <formula>AE43&lt;&gt;"OK"</formula>
    </cfRule>
  </conditionalFormatting>
  <conditionalFormatting sqref="J16">
    <cfRule type="expression" dxfId="948" priority="47" stopIfTrue="1">
      <formula>R8&lt;&gt;"OK"</formula>
    </cfRule>
  </conditionalFormatting>
  <conditionalFormatting sqref="J19">
    <cfRule type="expression" dxfId="947" priority="48" stopIfTrue="1">
      <formula>R10&lt;&gt;"OK"</formula>
    </cfRule>
  </conditionalFormatting>
  <conditionalFormatting sqref="B21">
    <cfRule type="expression" dxfId="946" priority="49" stopIfTrue="1">
      <formula>R10&lt;&gt;"OK"</formula>
    </cfRule>
    <cfRule type="expression" dxfId="945" priority="50" stopIfTrue="1">
      <formula>R11&lt;&gt;"OK"</formula>
    </cfRule>
  </conditionalFormatting>
  <conditionalFormatting sqref="V27">
    <cfRule type="expression" dxfId="944" priority="12" stopIfTrue="1">
      <formula>T27=""</formula>
    </cfRule>
  </conditionalFormatting>
  <conditionalFormatting sqref="V26">
    <cfRule type="expression" dxfId="943" priority="13" stopIfTrue="1">
      <formula>S26=""</formula>
    </cfRule>
  </conditionalFormatting>
  <conditionalFormatting sqref="D15:E15">
    <cfRule type="expression" dxfId="942" priority="51" stopIfTrue="1">
      <formula>R18="err"</formula>
    </cfRule>
  </conditionalFormatting>
  <conditionalFormatting sqref="F23">
    <cfRule type="expression" dxfId="941" priority="52" stopIfTrue="1">
      <formula>#REF!&lt;&gt;"OK"</formula>
    </cfRule>
  </conditionalFormatting>
  <conditionalFormatting sqref="M16">
    <cfRule type="expression" dxfId="940" priority="53" stopIfTrue="1">
      <formula>J16&gt;U8</formula>
    </cfRule>
  </conditionalFormatting>
  <conditionalFormatting sqref="V18">
    <cfRule type="expression" dxfId="939" priority="54" stopIfTrue="1">
      <formula>S18=""</formula>
    </cfRule>
  </conditionalFormatting>
  <conditionalFormatting sqref="E12">
    <cfRule type="expression" dxfId="938" priority="55" stopIfTrue="1">
      <formula>OR(E12&gt;Y26,E11+E12&gt;Y44)</formula>
    </cfRule>
  </conditionalFormatting>
  <conditionalFormatting sqref="E11">
    <cfRule type="expression" dxfId="937" priority="56" stopIfTrue="1">
      <formula>OR(E11&gt;Y25,E11+E12&gt;Y44)</formula>
    </cfRule>
  </conditionalFormatting>
  <conditionalFormatting sqref="B22">
    <cfRule type="expression" dxfId="936" priority="57" stopIfTrue="1">
      <formula>R11&lt;&gt;"OK"</formula>
    </cfRule>
    <cfRule type="expression" dxfId="935" priority="58" stopIfTrue="1">
      <formula>R29&lt;&gt;"OK"</formula>
    </cfRule>
  </conditionalFormatting>
  <conditionalFormatting sqref="C12">
    <cfRule type="expression" dxfId="934" priority="59" stopIfTrue="1">
      <formula>OR(C12&gt;V30,C11+C12&gt;V31)</formula>
    </cfRule>
  </conditionalFormatting>
  <conditionalFormatting sqref="C11">
    <cfRule type="expression" dxfId="933" priority="60" stopIfTrue="1">
      <formula>OR(C11&gt;V29,C11+C12&gt;V31)</formula>
    </cfRule>
  </conditionalFormatting>
  <conditionalFormatting sqref="C23:E23">
    <cfRule type="expression" dxfId="932" priority="61" stopIfTrue="1">
      <formula>R53&lt;&gt;"OK"</formula>
    </cfRule>
  </conditionalFormatting>
  <conditionalFormatting sqref="C7:D8">
    <cfRule type="expression" dxfId="931" priority="62" stopIfTrue="1">
      <formula>R46&lt;&gt;"OK"</formula>
    </cfRule>
  </conditionalFormatting>
  <conditionalFormatting sqref="D18:E18">
    <cfRule type="expression" dxfId="930" priority="63" stopIfTrue="1">
      <formula>R51&lt;&gt;"OK"</formula>
    </cfRule>
  </conditionalFormatting>
  <conditionalFormatting sqref="B18 B20">
    <cfRule type="expression" dxfId="929" priority="64" stopIfTrue="1">
      <formula>R51&lt;&gt;"OK"</formula>
    </cfRule>
  </conditionalFormatting>
  <conditionalFormatting sqref="D19">
    <cfRule type="expression" dxfId="928" priority="65" stopIfTrue="1">
      <formula>R53&lt;&gt;"ok"</formula>
    </cfRule>
  </conditionalFormatting>
  <conditionalFormatting sqref="S21">
    <cfRule type="expression" dxfId="927" priority="11" stopIfTrue="1">
      <formula>T21=""</formula>
    </cfRule>
  </conditionalFormatting>
  <conditionalFormatting sqref="S22:S23">
    <cfRule type="expression" dxfId="926" priority="10" stopIfTrue="1">
      <formula>S22=""</formula>
    </cfRule>
  </conditionalFormatting>
  <conditionalFormatting sqref="S20">
    <cfRule type="expression" dxfId="925" priority="8">
      <formula>AND(OR(T20="",LEFT(T20,1)="F"),T18&lt;&gt;T19)</formula>
    </cfRule>
    <cfRule type="expression" dxfId="924" priority="9">
      <formula>AND(LEFT(T20,1)&lt;&gt;"F",T18=T19)</formula>
    </cfRule>
  </conditionalFormatting>
  <conditionalFormatting sqref="R20">
    <cfRule type="cellIs" dxfId="923" priority="7" stopIfTrue="1" operator="notEqual">
      <formula>""</formula>
    </cfRule>
  </conditionalFormatting>
  <conditionalFormatting sqref="V20">
    <cfRule type="expression" dxfId="922" priority="6" stopIfTrue="1">
      <formula>T20=""</formula>
    </cfRule>
  </conditionalFormatting>
  <conditionalFormatting sqref="S12:S15">
    <cfRule type="expression" dxfId="921" priority="5" stopIfTrue="1">
      <formula>S12=""</formula>
    </cfRule>
  </conditionalFormatting>
  <conditionalFormatting sqref="V21">
    <cfRule type="expression" dxfId="920" priority="4" stopIfTrue="1">
      <formula>T21=""</formula>
    </cfRule>
  </conditionalFormatting>
  <conditionalFormatting sqref="R11">
    <cfRule type="cellIs" dxfId="919" priority="3" stopIfTrue="1" operator="notEqual">
      <formula>""</formula>
    </cfRule>
  </conditionalFormatting>
  <conditionalFormatting sqref="S19">
    <cfRule type="expression" dxfId="918" priority="2" stopIfTrue="1">
      <formula>#REF!=""</formula>
    </cfRule>
  </conditionalFormatting>
  <conditionalFormatting sqref="C24:F24">
    <cfRule type="cellIs" dxfId="917" priority="1" stopIfTrue="1" operator="notEqual">
      <formula>""</formula>
    </cfRule>
  </conditionalFormatting>
  <dataValidations count="3">
    <dataValidation type="list" showInputMessage="1" showErrorMessage="1" errorTitle="STANDARD FUELING LEVEL" error="STANDARD FUELING LEVEL MUST BE ENTERED:_x000a_TABS,_x000a_Measured,_x000a_FULL" sqref="T20" xr:uid="{00000000-0002-0000-0600-000000000000}">
      <formula1>"TABS,Measured,FULL"</formula1>
    </dataValidation>
    <dataValidation type="custom" allowBlank="1" showInputMessage="1" showErrorMessage="1" errorTitle="Input Error" error="Entry must be a NUMERIC VALUE!" sqref="D15:E17 C7:F12" xr:uid="{00000000-0002-0000-0600-000001000000}">
      <formula1>ISNUMBER(C7)</formula1>
    </dataValidation>
    <dataValidation type="date" allowBlank="1" showInputMessage="1" showErrorMessage="1" errorTitle="Input Error" error="A valid date must be entered into this cell.  Enter as  mm/dd/yy  _x000a__x000a_" sqref="C2:E2" xr:uid="{00000000-0002-0000-0600-000002000000}">
      <formula1>36526</formula1>
      <formula2>44196</formula2>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indexed="61"/>
    <pageSetUpPr fitToPage="1"/>
  </sheetPr>
  <dimension ref="B1:AJ56"/>
  <sheetViews>
    <sheetView showGridLines="0" showRowColHeaders="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5" width="4.7109375" hidden="1" customWidth="1"/>
    <col min="16" max="16" width="11.7109375" hidden="1" customWidth="1"/>
    <col min="17" max="17" width="9.7109375" hidden="1" customWidth="1"/>
    <col min="18" max="18" width="8.42578125" hidden="1" customWidth="1"/>
    <col min="19" max="19" width="19" hidden="1" customWidth="1"/>
    <col min="20" max="22" width="7.7109375" hidden="1" customWidth="1"/>
    <col min="23" max="23" width="29.42578125" hidden="1" customWidth="1"/>
    <col min="24" max="24" width="4.7109375" hidden="1" customWidth="1"/>
    <col min="25" max="25" width="3.5703125" hidden="1" customWidth="1"/>
    <col min="26" max="33" width="9.140625" hidden="1" customWidth="1"/>
    <col min="34" max="34" width="9.5703125" hidden="1" customWidth="1"/>
    <col min="35" max="36" width="9" hidden="1" customWidth="1"/>
    <col min="37" max="37" width="8.140625" customWidth="1"/>
  </cols>
  <sheetData>
    <row r="1" spans="2:36" ht="22.5" customHeight="1" thickBot="1" x14ac:dyDescent="0.25">
      <c r="B1" s="807" t="str">
        <f ca="1">status_msg</f>
        <v/>
      </c>
      <c r="C1" s="807"/>
      <c r="D1" s="807"/>
      <c r="E1" s="807"/>
      <c r="F1" s="807"/>
      <c r="G1" s="807"/>
      <c r="H1" s="807"/>
      <c r="I1" s="303" t="str">
        <f>Q1</f>
        <v>CAP 941</v>
      </c>
      <c r="J1" s="303" t="str">
        <f>R1</f>
        <v>N9433L</v>
      </c>
      <c r="K1" s="304"/>
      <c r="L1" s="301" t="str">
        <f>S1</f>
        <v xml:space="preserve">(180hp C 172P)  </v>
      </c>
      <c r="M1" s="302"/>
      <c r="P1" s="335" t="s">
        <v>178</v>
      </c>
      <c r="Q1" s="307" t="s">
        <v>274</v>
      </c>
      <c r="R1" s="307" t="s">
        <v>275</v>
      </c>
      <c r="S1" s="308" t="s">
        <v>242</v>
      </c>
      <c r="T1" s="308"/>
      <c r="U1" s="237"/>
      <c r="V1" s="237"/>
      <c r="W1" s="237"/>
      <c r="X1" s="237"/>
      <c r="Y1" s="237"/>
      <c r="Z1" s="237"/>
      <c r="AA1" s="237"/>
      <c r="AB1" s="237"/>
      <c r="AC1" s="237"/>
      <c r="AD1" s="237"/>
      <c r="AE1" s="237"/>
      <c r="AF1" s="237"/>
      <c r="AG1" s="237"/>
      <c r="AH1" s="237"/>
      <c r="AI1" s="237"/>
      <c r="AJ1" s="237"/>
    </row>
    <row r="2" spans="2:36" ht="15" customHeight="1" thickTop="1" thickBot="1" x14ac:dyDescent="0.25">
      <c r="B2" s="137" t="s">
        <v>131</v>
      </c>
      <c r="C2" s="808"/>
      <c r="D2" s="808"/>
      <c r="E2" s="809"/>
      <c r="F2" s="142" t="str">
        <f>IF(D3="","mm/dd/yy","(if not today)")</f>
        <v>mm/dd/yy</v>
      </c>
      <c r="H2" s="523"/>
      <c r="I2" s="138" t="s">
        <v>131</v>
      </c>
      <c r="J2" s="810" t="str">
        <f>IF(C3="","","Mission Symbol")&amp;"   Mission No:"</f>
        <v xml:space="preserve">   Mission No:</v>
      </c>
      <c r="K2" s="810"/>
      <c r="L2" s="659" t="s">
        <v>130</v>
      </c>
      <c r="P2" s="238"/>
      <c r="Q2" s="330" t="s">
        <v>173</v>
      </c>
      <c r="R2" s="330" t="s">
        <v>145</v>
      </c>
      <c r="S2" s="331" t="s">
        <v>172</v>
      </c>
      <c r="T2" s="332"/>
      <c r="U2" s="237"/>
      <c r="V2" s="237"/>
      <c r="W2" s="237"/>
      <c r="X2" s="237"/>
      <c r="Y2" s="237"/>
      <c r="Z2" s="237"/>
      <c r="AA2" s="237"/>
      <c r="AB2" s="237"/>
      <c r="AC2" s="237"/>
      <c r="AD2" s="237"/>
      <c r="AE2" s="237"/>
      <c r="AF2" s="237"/>
      <c r="AG2" s="237"/>
      <c r="AH2" s="237"/>
      <c r="AI2" s="237"/>
      <c r="AJ2" s="237"/>
    </row>
    <row r="3" spans="2:36" ht="15" customHeight="1" thickTop="1" thickBot="1" x14ac:dyDescent="0.25">
      <c r="B3" s="140" t="s">
        <v>137</v>
      </c>
      <c r="C3" s="660"/>
      <c r="D3" s="811"/>
      <c r="E3" s="811"/>
      <c r="F3" s="812"/>
      <c r="I3" s="131" t="str">
        <f ca="1">IF(AND(D3="",C2=""),"",IF(C2="",TODAY(),C2))</f>
        <v/>
      </c>
      <c r="J3" s="813" t="str">
        <f>IF(C3="","",IF(D3="","",C3))&amp;"      "&amp;IF(D3="","",D3)</f>
        <v xml:space="preserve">      </v>
      </c>
      <c r="K3" s="814"/>
      <c r="L3" s="132" t="str">
        <f>IF(C4="","",C4)</f>
        <v/>
      </c>
      <c r="P3" s="251"/>
      <c r="Q3" s="296"/>
      <c r="R3" s="296"/>
      <c r="S3" s="237"/>
      <c r="T3" s="237"/>
      <c r="U3" s="237"/>
      <c r="V3" s="237"/>
      <c r="W3" s="237"/>
      <c r="X3" s="237"/>
      <c r="Y3" s="237"/>
      <c r="Z3" s="241"/>
      <c r="AA3" s="237"/>
      <c r="AB3" s="244"/>
      <c r="AC3" s="237"/>
      <c r="AD3" s="237"/>
      <c r="AE3" s="237"/>
      <c r="AF3" s="237"/>
      <c r="AG3" s="237"/>
      <c r="AH3" s="237"/>
      <c r="AI3" s="237"/>
      <c r="AJ3" s="237"/>
    </row>
    <row r="4" spans="2:36" ht="12" customHeight="1" thickTop="1" x14ac:dyDescent="0.2">
      <c r="B4" s="140" t="s">
        <v>130</v>
      </c>
      <c r="C4" s="805"/>
      <c r="D4" s="806"/>
      <c r="E4" s="140"/>
      <c r="I4" s="703" t="s">
        <v>300</v>
      </c>
      <c r="J4" s="689"/>
      <c r="K4" s="688"/>
      <c r="L4" s="688"/>
      <c r="M4" s="688"/>
      <c r="P4" s="553" t="s">
        <v>222</v>
      </c>
      <c r="Q4" s="297"/>
      <c r="R4" s="297"/>
      <c r="S4" s="237"/>
      <c r="T4" s="298" t="s">
        <v>98</v>
      </c>
      <c r="U4" s="311"/>
      <c r="V4" s="299" t="s">
        <v>99</v>
      </c>
      <c r="W4" s="237"/>
      <c r="X4" s="237"/>
      <c r="Y4" s="237"/>
      <c r="Z4" s="237"/>
      <c r="AA4" s="237"/>
      <c r="AB4" s="237"/>
      <c r="AC4" s="237"/>
      <c r="AD4" s="237"/>
      <c r="AE4" s="237"/>
      <c r="AF4" s="237"/>
      <c r="AG4" s="237"/>
      <c r="AH4" s="237"/>
      <c r="AI4" s="237"/>
      <c r="AJ4" s="237"/>
    </row>
    <row r="5" spans="2:36" ht="12" customHeight="1" x14ac:dyDescent="0.2">
      <c r="I5" s="35"/>
      <c r="J5" s="36"/>
      <c r="K5" s="36"/>
      <c r="L5" s="36"/>
      <c r="M5" s="134" t="str">
        <f>"Release ID:   "&amp;release_nbr&amp;"    "&amp;TEXT(release_date,"dd mmm yyyy  ")</f>
        <v xml:space="preserve">Release ID:   R1    21 Mar 2020  </v>
      </c>
      <c r="P5" s="251"/>
      <c r="Q5" s="237"/>
      <c r="R5" s="237"/>
      <c r="S5" s="237"/>
      <c r="T5" s="237"/>
      <c r="U5" s="237"/>
      <c r="V5" s="237"/>
      <c r="W5" s="237"/>
      <c r="X5" s="237"/>
      <c r="Y5" s="237"/>
      <c r="Z5" s="237"/>
      <c r="AA5" s="237"/>
      <c r="AB5" s="237"/>
      <c r="AC5" s="237"/>
      <c r="AD5" s="237"/>
      <c r="AE5" s="237"/>
      <c r="AF5" s="237"/>
      <c r="AG5" s="237"/>
      <c r="AH5" s="237"/>
      <c r="AI5" s="237"/>
      <c r="AJ5" s="237"/>
    </row>
    <row r="6" spans="2:36" ht="12.75" customHeight="1" thickBot="1" x14ac:dyDescent="0.35">
      <c r="B6" s="3" t="s">
        <v>31</v>
      </c>
      <c r="I6" s="37" t="s">
        <v>0</v>
      </c>
      <c r="J6" s="38" t="s">
        <v>1</v>
      </c>
      <c r="K6" s="38" t="s">
        <v>2</v>
      </c>
      <c r="L6" s="39" t="s">
        <v>97</v>
      </c>
      <c r="M6" s="133" t="s">
        <v>3</v>
      </c>
      <c r="P6" s="251"/>
      <c r="Q6" s="333" t="s">
        <v>120</v>
      </c>
      <c r="R6" s="247"/>
      <c r="S6" s="247"/>
      <c r="T6" s="247"/>
      <c r="U6" s="190" t="s">
        <v>1</v>
      </c>
      <c r="V6" s="190" t="s">
        <v>2</v>
      </c>
      <c r="W6" s="336" t="s">
        <v>179</v>
      </c>
      <c r="X6" s="237"/>
      <c r="Y6" s="237"/>
      <c r="Z6" s="237"/>
      <c r="AA6" s="237"/>
      <c r="AB6" s="294" t="s">
        <v>163</v>
      </c>
      <c r="AC6" s="247"/>
      <c r="AD6" s="247"/>
      <c r="AE6" s="247"/>
      <c r="AF6" s="247"/>
      <c r="AG6" s="247"/>
      <c r="AH6" s="237"/>
      <c r="AI6" s="237"/>
      <c r="AJ6" s="237"/>
    </row>
    <row r="7" spans="2:36" ht="15" customHeight="1" thickTop="1" thickBot="1" x14ac:dyDescent="0.25">
      <c r="B7" s="803" t="s">
        <v>32</v>
      </c>
      <c r="C7" s="802"/>
      <c r="D7" s="804"/>
      <c r="E7" s="802"/>
      <c r="F7" s="800"/>
      <c r="H7" s="1"/>
      <c r="I7" s="13" t="s">
        <v>4</v>
      </c>
      <c r="J7" s="188">
        <f>U7</f>
        <v>1595</v>
      </c>
      <c r="K7" s="67">
        <f>V7</f>
        <v>39.799999999999997</v>
      </c>
      <c r="L7" s="68">
        <f>ROUND(J7*K7/1000,5)</f>
        <v>63.481000000000002</v>
      </c>
      <c r="M7" s="586" t="str">
        <f>IF(W7="","",W7)</f>
        <v>W/B: 8-Jan-2013 Harry Schlegelmilch</v>
      </c>
      <c r="P7" s="251"/>
      <c r="Q7" s="239" t="str">
        <f>"Ln"&amp;ROW()</f>
        <v>Ln7</v>
      </c>
      <c r="R7" s="254"/>
      <c r="S7" s="260" t="s">
        <v>4</v>
      </c>
      <c r="T7" s="261"/>
      <c r="U7" s="340">
        <v>1595</v>
      </c>
      <c r="V7" s="309">
        <v>39.799999999999997</v>
      </c>
      <c r="W7" s="310" t="s">
        <v>293</v>
      </c>
      <c r="X7" s="237"/>
      <c r="Y7" s="237"/>
      <c r="Z7" s="237"/>
      <c r="AA7" s="237"/>
      <c r="AB7" s="237"/>
      <c r="AC7" s="243"/>
      <c r="AD7" s="249" t="s">
        <v>162</v>
      </c>
      <c r="AE7" s="237"/>
      <c r="AF7" s="237"/>
      <c r="AG7" s="237"/>
      <c r="AH7" s="237"/>
      <c r="AI7" s="237"/>
      <c r="AJ7" s="237"/>
    </row>
    <row r="8" spans="2:36" ht="15" customHeight="1" thickTop="1" thickBot="1" x14ac:dyDescent="0.25">
      <c r="B8" s="803"/>
      <c r="C8" s="802"/>
      <c r="D8" s="804"/>
      <c r="E8" s="802"/>
      <c r="F8" s="800"/>
      <c r="H8" s="1"/>
      <c r="I8" s="125" t="s">
        <v>10</v>
      </c>
      <c r="J8" s="189">
        <f>D15*6</f>
        <v>0</v>
      </c>
      <c r="K8" s="69">
        <f>U18</f>
        <v>48</v>
      </c>
      <c r="L8" s="72">
        <f>ROUND((J8*K8)/1000,5)</f>
        <v>0</v>
      </c>
      <c r="M8" s="11" t="str">
        <f>V18&amp;" lbs Max ("&amp;T18&amp;" gals)  "&amp;IF(OR(T18=T19,T19="",T19=0),"",V19&amp;" lbs Tabs ("&amp;T19&amp;" gals)")</f>
        <v xml:space="preserve">240 lbs Max (40 gals)  </v>
      </c>
      <c r="P8" s="251"/>
      <c r="Q8" s="239" t="str">
        <f t="shared" ref="Q8:Q34" si="0">"Ln"&amp;ROW()</f>
        <v>Ln8</v>
      </c>
      <c r="R8" s="257" t="str">
        <f ca="1">IF(J16&gt;U8,"ERR","OK")</f>
        <v>OK</v>
      </c>
      <c r="S8" s="260" t="s">
        <v>168</v>
      </c>
      <c r="T8" s="261"/>
      <c r="U8" s="341">
        <v>2550</v>
      </c>
      <c r="V8" s="237"/>
      <c r="W8" s="237"/>
      <c r="X8" s="237"/>
      <c r="Y8" s="193"/>
      <c r="Z8" s="194"/>
      <c r="AA8" s="312">
        <v>2550</v>
      </c>
      <c r="AC8" s="625">
        <f>AA8</f>
        <v>2550</v>
      </c>
      <c r="AD8" s="237"/>
      <c r="AF8" s="314">
        <v>41</v>
      </c>
      <c r="AH8" s="315">
        <v>47.3</v>
      </c>
      <c r="AI8" s="237"/>
      <c r="AJ8" s="237"/>
    </row>
    <row r="9" spans="2:36" ht="15" customHeight="1" thickTop="1" thickBot="1" x14ac:dyDescent="0.25">
      <c r="B9" s="803" t="s">
        <v>33</v>
      </c>
      <c r="C9" s="802"/>
      <c r="D9" s="804"/>
      <c r="E9" s="802"/>
      <c r="F9" s="800"/>
      <c r="H9" s="1"/>
      <c r="I9" s="125" t="s">
        <v>11</v>
      </c>
      <c r="J9" s="189">
        <f>C7+E7</f>
        <v>0</v>
      </c>
      <c r="K9" s="69">
        <f>U26</f>
        <v>37</v>
      </c>
      <c r="L9" s="72">
        <f>ROUND((J9*K9)/1000,5)</f>
        <v>0</v>
      </c>
      <c r="M9" s="11" t="str">
        <f>IF(W26="","",W26)</f>
        <v/>
      </c>
      <c r="P9" s="251"/>
      <c r="Q9" s="239" t="str">
        <f t="shared" si="0"/>
        <v>Ln9</v>
      </c>
      <c r="R9" s="258"/>
      <c r="S9" s="260" t="s">
        <v>169</v>
      </c>
      <c r="T9" s="261"/>
      <c r="U9" s="341">
        <v>2557</v>
      </c>
      <c r="V9" s="252"/>
      <c r="W9" s="300" t="s">
        <v>176</v>
      </c>
      <c r="X9" s="237"/>
      <c r="Y9" s="196"/>
      <c r="Z9" s="192"/>
      <c r="AD9" s="237"/>
      <c r="AI9" s="237"/>
      <c r="AJ9" s="237"/>
    </row>
    <row r="10" spans="2:36" ht="15" customHeight="1" thickTop="1" thickBot="1" x14ac:dyDescent="0.3">
      <c r="B10" s="803"/>
      <c r="C10" s="802"/>
      <c r="D10" s="804"/>
      <c r="E10" s="802"/>
      <c r="F10" s="800"/>
      <c r="H10" s="1"/>
      <c r="I10" s="125" t="s">
        <v>12</v>
      </c>
      <c r="J10" s="189">
        <f>C9+E9</f>
        <v>0</v>
      </c>
      <c r="K10" s="69">
        <f>U27</f>
        <v>73</v>
      </c>
      <c r="L10" s="72">
        <f>ROUND((J10*K10)/1000,5)</f>
        <v>0</v>
      </c>
      <c r="M10" s="11" t="str">
        <f>IF(W27="","",W27)</f>
        <v/>
      </c>
      <c r="P10" s="251"/>
      <c r="Q10" s="239" t="str">
        <f t="shared" si="0"/>
        <v>Ln10</v>
      </c>
      <c r="R10" s="257" t="str">
        <f>IF(U8=U10,"OK",IF(J20&gt;U10,"WARN","OK"))</f>
        <v>OK</v>
      </c>
      <c r="S10" s="260" t="s">
        <v>170</v>
      </c>
      <c r="T10" s="261"/>
      <c r="U10" s="341">
        <v>2550</v>
      </c>
      <c r="V10" s="392"/>
      <c r="W10" s="393" t="s">
        <v>176</v>
      </c>
      <c r="X10" s="237"/>
      <c r="Y10" s="305" t="s">
        <v>155</v>
      </c>
      <c r="Z10" s="192"/>
      <c r="AD10" s="237"/>
      <c r="AI10" s="237"/>
      <c r="AJ10" s="237"/>
    </row>
    <row r="11" spans="2:36" ht="15" customHeight="1" thickTop="1" thickBot="1" x14ac:dyDescent="0.3">
      <c r="B11" s="6" t="s">
        <v>25</v>
      </c>
      <c r="C11" s="800"/>
      <c r="D11" s="801"/>
      <c r="E11" s="801"/>
      <c r="F11" s="802"/>
      <c r="H11" s="1"/>
      <c r="I11" s="19" t="s">
        <v>13</v>
      </c>
      <c r="J11" s="189">
        <f>C11</f>
        <v>0</v>
      </c>
      <c r="K11" s="69">
        <f>U29</f>
        <v>95</v>
      </c>
      <c r="L11" s="72">
        <f>ROUND((J11*K11)/1000,5)</f>
        <v>0</v>
      </c>
      <c r="M11" s="11" t="str">
        <f>V29&amp;" lbs max ("&amp;V31&amp;" max baggage 1+2)"</f>
        <v>120 lbs max (120 max baggage 1+2)</v>
      </c>
      <c r="P11" s="251"/>
      <c r="Q11" s="239" t="str">
        <f t="shared" si="0"/>
        <v>Ln11</v>
      </c>
      <c r="R11" s="384" t="str">
        <f>IF(U8=U10,"OK",IF(J19&gt;U11,"WARN","OK"))</f>
        <v>OK</v>
      </c>
      <c r="S11" s="255" t="s">
        <v>171</v>
      </c>
      <c r="T11" s="256"/>
      <c r="U11" s="259">
        <f>U10</f>
        <v>2550</v>
      </c>
      <c r="V11" s="237"/>
      <c r="W11" s="237"/>
      <c r="X11" s="237"/>
      <c r="Y11" s="305" t="s">
        <v>50</v>
      </c>
      <c r="Z11" s="192"/>
      <c r="AA11" s="815" t="s">
        <v>1</v>
      </c>
      <c r="AB11" s="815"/>
      <c r="AD11" s="237"/>
      <c r="AF11" s="815" t="s">
        <v>154</v>
      </c>
      <c r="AG11" s="815"/>
      <c r="AI11" s="237"/>
      <c r="AJ11" s="237"/>
    </row>
    <row r="12" spans="2:36" ht="15" customHeight="1" thickTop="1" thickBot="1" x14ac:dyDescent="0.3">
      <c r="B12" s="6" t="s">
        <v>26</v>
      </c>
      <c r="C12" s="800"/>
      <c r="D12" s="801"/>
      <c r="E12" s="801"/>
      <c r="F12" s="802"/>
      <c r="H12" s="1"/>
      <c r="I12" s="19" t="s">
        <v>14</v>
      </c>
      <c r="J12" s="189">
        <f>C12</f>
        <v>0</v>
      </c>
      <c r="K12" s="69">
        <f>U30</f>
        <v>123</v>
      </c>
      <c r="L12" s="72">
        <f>ROUND((J12*K12)/1000,5)</f>
        <v>0</v>
      </c>
      <c r="M12" s="11" t="str">
        <f>V30&amp;" lbs max"</f>
        <v>50 lbs max</v>
      </c>
      <c r="P12" s="251"/>
      <c r="Q12" s="239" t="str">
        <f t="shared" si="0"/>
        <v>Ln12</v>
      </c>
      <c r="R12" s="391"/>
      <c r="S12" s="400" t="s">
        <v>7</v>
      </c>
      <c r="T12" s="391"/>
      <c r="U12" s="391"/>
      <c r="V12" s="392"/>
      <c r="W12" s="393" t="s">
        <v>176</v>
      </c>
      <c r="X12" s="237"/>
      <c r="Y12" s="305" t="s">
        <v>56</v>
      </c>
      <c r="Z12" s="312">
        <v>1948</v>
      </c>
      <c r="AA12" s="815" t="s">
        <v>153</v>
      </c>
      <c r="AB12" s="815"/>
      <c r="AD12" s="237"/>
      <c r="AE12" s="626">
        <f>AE16</f>
        <v>35</v>
      </c>
      <c r="AF12" s="815" t="s">
        <v>153</v>
      </c>
      <c r="AG12" s="815"/>
      <c r="AI12" s="237"/>
      <c r="AJ12" s="237"/>
    </row>
    <row r="13" spans="2:36" ht="15" customHeight="1" thickTop="1" x14ac:dyDescent="0.25">
      <c r="B13" s="6"/>
      <c r="H13" s="1"/>
      <c r="I13" s="185"/>
      <c r="J13" s="187"/>
      <c r="K13" s="26"/>
      <c r="L13" s="92"/>
      <c r="M13" s="186"/>
      <c r="P13" s="251"/>
      <c r="Q13" s="239" t="str">
        <f t="shared" si="0"/>
        <v>Ln13</v>
      </c>
      <c r="R13" s="391"/>
      <c r="S13" s="400" t="s">
        <v>194</v>
      </c>
      <c r="T13" s="391"/>
      <c r="U13" s="391"/>
      <c r="V13" s="392"/>
      <c r="W13" s="393" t="s">
        <v>176</v>
      </c>
      <c r="X13" s="237"/>
      <c r="Y13" s="305" t="s">
        <v>57</v>
      </c>
      <c r="Z13" s="192"/>
      <c r="AC13" s="816" t="s">
        <v>157</v>
      </c>
      <c r="AD13" s="237"/>
      <c r="AH13" s="816" t="s">
        <v>167</v>
      </c>
      <c r="AI13" s="237"/>
      <c r="AJ13" s="237"/>
    </row>
    <row r="14" spans="2:36" ht="15" customHeight="1" thickBot="1" x14ac:dyDescent="0.35">
      <c r="B14" s="3"/>
      <c r="C14" s="235"/>
      <c r="D14" s="2"/>
      <c r="E14" s="2"/>
      <c r="F14" s="40" t="str">
        <f>IF(R20="err","","(Std Fueling "&amp;T19&amp;" gal ("&amp;T20&amp;"))")</f>
        <v>(Std Fueling 40 gal (FULL))</v>
      </c>
      <c r="H14" s="1"/>
      <c r="I14" s="15" t="s">
        <v>6</v>
      </c>
      <c r="J14" s="71">
        <f>SUM(J7:J13)</f>
        <v>1595</v>
      </c>
      <c r="K14" s="26"/>
      <c r="L14" s="70">
        <f>SUM(L7:L13)</f>
        <v>63.481000000000002</v>
      </c>
      <c r="M14" s="11" t="str">
        <f>"Max Ramp Weight: "&amp;TEXT(U9,"#,###")&amp;IF(U8&lt;&gt;U10," - Landing "&amp;TEXT(U10,"#,###"),"")</f>
        <v>Max Ramp Weight: 2,557</v>
      </c>
      <c r="P14" s="251"/>
      <c r="Q14" s="239" t="str">
        <f t="shared" si="0"/>
        <v>Ln14</v>
      </c>
      <c r="R14" s="391"/>
      <c r="S14" s="400" t="s">
        <v>24</v>
      </c>
      <c r="T14" s="391"/>
      <c r="U14" s="391"/>
      <c r="V14" s="392"/>
      <c r="W14" s="393" t="s">
        <v>177</v>
      </c>
      <c r="X14" s="237"/>
      <c r="Y14" s="305" t="s">
        <v>156</v>
      </c>
      <c r="Z14" s="192"/>
      <c r="AC14" s="816"/>
      <c r="AD14" s="237"/>
      <c r="AH14" s="816"/>
      <c r="AI14" s="237"/>
      <c r="AJ14" s="237"/>
    </row>
    <row r="15" spans="2:36" ht="15" customHeight="1" thickTop="1" thickBot="1" x14ac:dyDescent="0.3">
      <c r="B15" s="32" t="s">
        <v>88</v>
      </c>
      <c r="C15" s="4"/>
      <c r="D15" s="793"/>
      <c r="E15" s="793"/>
      <c r="F15" s="5" t="s">
        <v>36</v>
      </c>
      <c r="H15" s="1"/>
      <c r="I15" s="16" t="s">
        <v>15</v>
      </c>
      <c r="J15" s="585">
        <f>V21</f>
        <v>-7</v>
      </c>
      <c r="K15" s="69">
        <f>U18</f>
        <v>48</v>
      </c>
      <c r="L15" s="72">
        <f>ROUND((J15*K15)/1000,5)</f>
        <v>-0.33600000000000002</v>
      </c>
      <c r="M15" s="11" t="s">
        <v>16</v>
      </c>
      <c r="P15" s="251"/>
      <c r="Q15" s="239" t="str">
        <f t="shared" si="0"/>
        <v>Ln15</v>
      </c>
      <c r="R15" s="391"/>
      <c r="S15" s="400" t="s">
        <v>193</v>
      </c>
      <c r="T15" s="391"/>
      <c r="U15" s="391"/>
      <c r="V15" s="392"/>
      <c r="W15" s="393" t="s">
        <v>177</v>
      </c>
      <c r="X15" s="237"/>
      <c r="Y15" s="305" t="s">
        <v>47</v>
      </c>
      <c r="Z15" s="312">
        <v>1500</v>
      </c>
      <c r="AC15" s="817"/>
      <c r="AD15" s="237"/>
      <c r="AH15" s="817"/>
      <c r="AI15" s="237"/>
      <c r="AJ15" s="237"/>
    </row>
    <row r="16" spans="2:36" ht="15" customHeight="1" thickTop="1" thickBot="1" x14ac:dyDescent="0.25">
      <c r="B16" s="32" t="s">
        <v>35</v>
      </c>
      <c r="C16" s="2"/>
      <c r="D16" s="794"/>
      <c r="E16" s="795"/>
      <c r="F16" s="5" t="s">
        <v>108</v>
      </c>
      <c r="H16" s="1"/>
      <c r="I16" s="17" t="s">
        <v>7</v>
      </c>
      <c r="J16" s="126">
        <f ca="1">IF(expired=TRUE,9999,SUM(J14:J15))</f>
        <v>1588</v>
      </c>
      <c r="K16" s="73" t="s">
        <v>5</v>
      </c>
      <c r="L16" s="74">
        <f>SUM(L14:L15)</f>
        <v>63.145000000000003</v>
      </c>
      <c r="M16" s="110" t="str">
        <f>"Max Gross: "&amp;TEXT(U8,"#,##0")&amp;"   Useful Load: "&amp;TEXT(U37,"#,##0")</f>
        <v>Max Gross: 2,550   Useful Load: 955</v>
      </c>
      <c r="P16" s="251"/>
      <c r="Q16" s="240"/>
      <c r="R16" s="240"/>
      <c r="S16" s="240"/>
      <c r="T16" s="240"/>
      <c r="U16" s="240"/>
      <c r="V16" s="240"/>
      <c r="W16" s="240"/>
      <c r="X16" s="237"/>
      <c r="Y16" s="195"/>
      <c r="Z16" s="192"/>
      <c r="AC16" s="191">
        <f>AC8</f>
        <v>2550</v>
      </c>
      <c r="AD16" s="237"/>
      <c r="AE16" s="313">
        <v>35</v>
      </c>
      <c r="AF16" s="7"/>
      <c r="AG16" s="7"/>
      <c r="AH16" s="199">
        <f>AH8</f>
        <v>47.3</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39.763853904282115</v>
      </c>
      <c r="L17" s="75" t="s">
        <v>5</v>
      </c>
      <c r="M17" s="12" t="s">
        <v>9</v>
      </c>
      <c r="P17" s="251"/>
      <c r="Q17" s="333" t="s">
        <v>158</v>
      </c>
      <c r="R17" s="247"/>
      <c r="S17" s="247"/>
      <c r="T17" s="338" t="s">
        <v>174</v>
      </c>
      <c r="U17" s="190" t="s">
        <v>2</v>
      </c>
      <c r="V17" s="190" t="s">
        <v>118</v>
      </c>
      <c r="W17" s="336" t="s">
        <v>179</v>
      </c>
      <c r="X17" s="237"/>
      <c r="Y17" s="197"/>
      <c r="Z17" s="198"/>
      <c r="AD17" s="237"/>
      <c r="AE17" s="200"/>
      <c r="AF17" s="818" t="s">
        <v>161</v>
      </c>
      <c r="AG17" s="818"/>
      <c r="AH17" s="201"/>
      <c r="AI17" s="237"/>
      <c r="AJ17" s="237"/>
    </row>
    <row r="18" spans="2:36" ht="15" customHeight="1" thickTop="1" thickBot="1" x14ac:dyDescent="0.25">
      <c r="B18" s="32" t="s">
        <v>139</v>
      </c>
      <c r="D18" s="798">
        <f>D16*D17</f>
        <v>0</v>
      </c>
      <c r="E18" s="799"/>
      <c r="F18" s="5" t="s">
        <v>36</v>
      </c>
      <c r="H18" s="1"/>
      <c r="I18" s="23" t="s">
        <v>23</v>
      </c>
      <c r="J18" s="25">
        <f>D18*6*-1</f>
        <v>0</v>
      </c>
      <c r="K18" s="25">
        <f>K8</f>
        <v>48</v>
      </c>
      <c r="L18" s="92">
        <f>ROUND((J18*K18)/1000,5)</f>
        <v>0</v>
      </c>
      <c r="M18" s="29" t="s">
        <v>73</v>
      </c>
      <c r="P18" s="251"/>
      <c r="Q18" s="239" t="str">
        <f t="shared" si="0"/>
        <v>Ln18</v>
      </c>
      <c r="R18" s="257" t="str">
        <f>IF(D15&gt;T18,"ERR","OK")</f>
        <v>OK</v>
      </c>
      <c r="S18" s="548" t="s">
        <v>239</v>
      </c>
      <c r="T18" s="339">
        <v>40</v>
      </c>
      <c r="U18" s="309">
        <v>48</v>
      </c>
      <c r="V18" s="342">
        <f>T18*6</f>
        <v>240</v>
      </c>
      <c r="W18" s="300" t="s">
        <v>176</v>
      </c>
      <c r="X18" s="237"/>
      <c r="Y18" s="237"/>
      <c r="Z18" s="237"/>
      <c r="AA18" s="237"/>
      <c r="AB18" s="237"/>
      <c r="AC18" s="237"/>
      <c r="AD18" s="237"/>
      <c r="AE18" s="237"/>
      <c r="AF18" s="237"/>
      <c r="AG18" s="237"/>
      <c r="AH18" s="23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95">
        <f ca="1">SUM(J16:J18)</f>
        <v>1588</v>
      </c>
      <c r="K19" s="93"/>
      <c r="L19" s="24">
        <f>SUM(L16:L18)</f>
        <v>63.145000000000003</v>
      </c>
      <c r="M19" s="29" t="str">
        <f>IF(U8=U10,"Landing Weight Limit same as Takeoff Weight","Max Landing Weight  "&amp;TEXT(U10,"#,##0"))</f>
        <v>Landing Weight Limit same as Takeoff Weight</v>
      </c>
      <c r="P19" s="251"/>
      <c r="Q19" s="239" t="str">
        <f t="shared" si="0"/>
        <v>Ln19</v>
      </c>
      <c r="R19" s="258"/>
      <c r="S19" s="549" t="s">
        <v>240</v>
      </c>
      <c r="T19" s="339">
        <v>40</v>
      </c>
      <c r="U19" s="343"/>
      <c r="V19" s="342">
        <f>T19*6</f>
        <v>240</v>
      </c>
      <c r="W19" s="237"/>
      <c r="X19" s="237"/>
      <c r="Y19" s="237"/>
      <c r="Z19" s="237"/>
      <c r="AA19" s="291" t="str">
        <f ca="1">IF(AA20&gt;U8,"OUT","OK")</f>
        <v>OK</v>
      </c>
      <c r="AB19" s="250" t="s">
        <v>164</v>
      </c>
      <c r="AC19" s="237"/>
      <c r="AD19" s="237"/>
      <c r="AE19" s="291" t="str">
        <f ca="1">IF(AA19="out","out",IF(AND(AE20&gt;=AG20,AE20&lt;=AH20),"OK","OUT"))</f>
        <v>OK</v>
      </c>
      <c r="AF19" s="237"/>
      <c r="AG19" s="237"/>
      <c r="AH19" s="237"/>
      <c r="AI19" s="237"/>
      <c r="AJ19" s="237"/>
    </row>
    <row r="20" spans="2:36" ht="15" customHeight="1" thickTop="1" thickBot="1" x14ac:dyDescent="0.25">
      <c r="B20" s="135" t="s">
        <v>132</v>
      </c>
      <c r="I20" s="28" t="s">
        <v>8</v>
      </c>
      <c r="J20" s="94"/>
      <c r="K20" s="96">
        <f ca="1">(L19*1000)/J19</f>
        <v>39.763853904282115</v>
      </c>
      <c r="L20" s="76"/>
      <c r="M20" s="30" t="s">
        <v>65</v>
      </c>
      <c r="P20" s="251"/>
      <c r="Q20" s="375" t="str">
        <f t="shared" si="0"/>
        <v>Ln20</v>
      </c>
      <c r="R20" s="83" t="str">
        <f>IF(AND(T18=T19,LEFT(T20,1)="F"),"OK",IF(AND(T18&lt;&gt;T19,LEFT(T20,1)&lt;&gt;"F"),"OK","ERR"))</f>
        <v>OK</v>
      </c>
      <c r="S20" s="547" t="s">
        <v>188</v>
      </c>
      <c r="T20" s="546" t="s">
        <v>189</v>
      </c>
      <c r="U20" s="397" t="s">
        <v>190</v>
      </c>
      <c r="V20" s="412"/>
      <c r="W20" s="392"/>
      <c r="X20" s="237"/>
      <c r="Y20" s="270" t="s">
        <v>47</v>
      </c>
      <c r="Z20" s="288" t="s">
        <v>1</v>
      </c>
      <c r="AA20" s="316">
        <f ca="1">J16</f>
        <v>1588</v>
      </c>
      <c r="AB20" s="236"/>
      <c r="AC20" s="292"/>
      <c r="AD20" s="234" t="s">
        <v>40</v>
      </c>
      <c r="AE20" s="317">
        <f ca="1">K17</f>
        <v>39.763853904282115</v>
      </c>
      <c r="AF20" s="287" t="s">
        <v>61</v>
      </c>
      <c r="AG20" s="318">
        <f ca="1">VLOOKUP(AA20,Z23:AH26,8,TRUE)</f>
        <v>35</v>
      </c>
      <c r="AH20" s="319">
        <f ca="1">VLOOKUP(AA20,Z23:AH26,9,TRUE)</f>
        <v>47.3</v>
      </c>
      <c r="AI20" s="237"/>
      <c r="AJ20" s="237"/>
    </row>
    <row r="21" spans="2:36" ht="13.5" thickTop="1" x14ac:dyDescent="0.2">
      <c r="B21" s="770" t="str">
        <f>IF(R10&lt;&gt;"OK","Caution - Landing Weight",IF(R11&lt;&gt;"OK","Watch Early Landing Weight",""))</f>
        <v/>
      </c>
      <c r="C21" s="772" t="str">
        <f ca="1">IF(OR(AA19="out",AE19="out"),"CAUTION:   Wt or CG Out of Limits","")</f>
        <v/>
      </c>
      <c r="D21" s="772"/>
      <c r="E21" s="772"/>
      <c r="F21" s="773"/>
      <c r="P21" s="251"/>
      <c r="Q21" s="239" t="str">
        <f t="shared" si="0"/>
        <v>Ln21</v>
      </c>
      <c r="R21" s="258"/>
      <c r="S21" s="548" t="s">
        <v>191</v>
      </c>
      <c r="T21" s="339">
        <v>1.1000000000000001</v>
      </c>
      <c r="U21" s="343"/>
      <c r="V21" s="582">
        <f>ROUND(T21*6,0)*-1</f>
        <v>-7</v>
      </c>
      <c r="W21" s="237"/>
      <c r="X21" s="237"/>
      <c r="Y21" s="271" t="s">
        <v>48</v>
      </c>
      <c r="Z21" s="273"/>
      <c r="AA21" s="274" t="s">
        <v>67</v>
      </c>
      <c r="AB21" s="275"/>
      <c r="AC21" s="293"/>
      <c r="AD21" s="273"/>
      <c r="AE21" s="276" t="s">
        <v>66</v>
      </c>
      <c r="AF21" s="273"/>
      <c r="AG21" s="277" t="s">
        <v>46</v>
      </c>
      <c r="AH21" s="278" t="s">
        <v>46</v>
      </c>
      <c r="AI21" s="237"/>
      <c r="AJ21" s="237"/>
    </row>
    <row r="22" spans="2:36" ht="13.5" thickBot="1" x14ac:dyDescent="0.25">
      <c r="B22" s="771"/>
      <c r="C22" s="774"/>
      <c r="D22" s="774"/>
      <c r="E22" s="774"/>
      <c r="F22" s="775"/>
      <c r="P22" s="238"/>
      <c r="Q22" s="237"/>
      <c r="R22" s="258"/>
      <c r="S22" s="550" t="s">
        <v>15</v>
      </c>
      <c r="T22" s="258"/>
      <c r="U22" s="252"/>
      <c r="V22" s="258"/>
      <c r="W22" s="300" t="s">
        <v>177</v>
      </c>
      <c r="X22" s="237"/>
      <c r="Y22" s="271" t="s">
        <v>49</v>
      </c>
      <c r="Z22" s="279" t="s">
        <v>41</v>
      </c>
      <c r="AA22" s="279" t="s">
        <v>42</v>
      </c>
      <c r="AB22" s="280" t="s">
        <v>43</v>
      </c>
      <c r="AC22" s="281" t="s">
        <v>41</v>
      </c>
      <c r="AD22" s="282" t="s">
        <v>42</v>
      </c>
      <c r="AE22" s="283" t="s">
        <v>44</v>
      </c>
      <c r="AF22" s="284" t="s">
        <v>45</v>
      </c>
      <c r="AG22" s="285" t="s">
        <v>68</v>
      </c>
      <c r="AH22" s="286" t="s">
        <v>69</v>
      </c>
      <c r="AI22" s="237"/>
      <c r="AJ22" s="237"/>
    </row>
    <row r="23" spans="2:36" ht="13.5" thickTop="1" x14ac:dyDescent="0.2">
      <c r="B23" s="34" t="str">
        <f>IF(AND(R52&lt;&gt;"OK",R48&lt;&gt;"OK"),"Enter Fuel on Board","")</f>
        <v/>
      </c>
      <c r="C23" s="776" t="str">
        <f>IF(R53&lt;&gt;"OK","Fuel &lt;1-HR Reserve","")</f>
        <v/>
      </c>
      <c r="D23" s="776"/>
      <c r="E23" s="776"/>
      <c r="F23" s="777"/>
      <c r="I23" s="10" t="s">
        <v>64</v>
      </c>
      <c r="P23" s="238"/>
      <c r="Q23" s="240"/>
      <c r="R23" s="258"/>
      <c r="S23" s="550" t="s">
        <v>23</v>
      </c>
      <c r="T23" s="258"/>
      <c r="U23" s="252"/>
      <c r="V23" s="258"/>
      <c r="W23" s="300" t="s">
        <v>177</v>
      </c>
      <c r="X23" s="237"/>
      <c r="Y23" s="271" t="s">
        <v>50</v>
      </c>
      <c r="Z23" s="218">
        <f>Z15</f>
        <v>1500</v>
      </c>
      <c r="AA23" s="219">
        <f>Z12</f>
        <v>1948</v>
      </c>
      <c r="AB23" s="204">
        <f>+AA23-Z23</f>
        <v>448</v>
      </c>
      <c r="AC23" s="222">
        <f>AE16</f>
        <v>35</v>
      </c>
      <c r="AD23" s="223">
        <f>AE12</f>
        <v>35</v>
      </c>
      <c r="AE23" s="209">
        <f>AD23-AC23</f>
        <v>0</v>
      </c>
      <c r="AF23" s="210">
        <f>IF(OR(AB23=0,AE23=0),0,ROUND(AE23/AB23,5))</f>
        <v>0</v>
      </c>
      <c r="AG23" s="211">
        <f ca="1">IF(AND(AA20&gt;=Z23,AA20&lt;AA23),AC23+((AA20-Z23)*AF23),AC23)</f>
        <v>35</v>
      </c>
      <c r="AH23" s="212">
        <f>AD26</f>
        <v>47.3</v>
      </c>
      <c r="AI23" s="237"/>
      <c r="AJ23" s="237"/>
    </row>
    <row r="24" spans="2:36" ht="12.75" customHeight="1" x14ac:dyDescent="0.2">
      <c r="B24" s="77" t="str">
        <f>IF(AND(R52&lt;&gt;"OK",R49&lt;&gt;"OK"),"Enter GPH Usage","")</f>
        <v/>
      </c>
      <c r="C24" s="778" t="str">
        <f>IF(OR(R18&lt;&gt;"OK",R51&lt;&gt;"OK"),"Fueling Error","")</f>
        <v/>
      </c>
      <c r="D24" s="778"/>
      <c r="E24" s="778"/>
      <c r="F24" s="779"/>
      <c r="I24" s="9" t="s">
        <v>62</v>
      </c>
      <c r="P24" s="238"/>
      <c r="Q24" s="240"/>
      <c r="R24" s="240"/>
      <c r="S24" s="240"/>
      <c r="T24" s="240"/>
      <c r="U24" s="240"/>
      <c r="V24" s="240"/>
      <c r="W24" s="240"/>
      <c r="X24" s="237"/>
      <c r="Y24" s="271" t="s">
        <v>51</v>
      </c>
      <c r="Z24" s="202">
        <f>AA23</f>
        <v>1948</v>
      </c>
      <c r="AA24" s="220">
        <f>AA8</f>
        <v>2550</v>
      </c>
      <c r="AB24" s="205">
        <f>+AA24-Z24</f>
        <v>602</v>
      </c>
      <c r="AC24" s="207">
        <f>IF(AD24=AD23,AC23,AD23)</f>
        <v>35</v>
      </c>
      <c r="AD24" s="224">
        <f>AF8</f>
        <v>41</v>
      </c>
      <c r="AE24" s="209">
        <f>AD24-AC24</f>
        <v>6</v>
      </c>
      <c r="AF24" s="210">
        <f>IF(OR(AB24=0,AE24=0),0,ROUND(AE24/AB24,5))</f>
        <v>9.9699999999999997E-3</v>
      </c>
      <c r="AG24" s="211">
        <f ca="1">IF(AND(AA20&gt;=Z24,AA20&lt;AA24),AC24+((AA20-Z24)*AF24),AC24)</f>
        <v>35</v>
      </c>
      <c r="AH24" s="213">
        <f>AH23</f>
        <v>47.3</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238"/>
      <c r="Q25" s="333" t="s">
        <v>159</v>
      </c>
      <c r="R25" s="247"/>
      <c r="S25" s="247"/>
      <c r="T25" s="247"/>
      <c r="U25" s="190" t="s">
        <v>2</v>
      </c>
      <c r="V25" s="190" t="s">
        <v>1</v>
      </c>
      <c r="W25" s="336" t="s">
        <v>179</v>
      </c>
      <c r="X25" s="237"/>
      <c r="Y25" s="271" t="s">
        <v>52</v>
      </c>
      <c r="Z25" s="202">
        <f>AA24</f>
        <v>2550</v>
      </c>
      <c r="AA25" s="220">
        <f>AC8</f>
        <v>2550</v>
      </c>
      <c r="AB25" s="205">
        <f>+AA25-Z25</f>
        <v>0</v>
      </c>
      <c r="AC25" s="207">
        <f>IF(AD25=AD24,AC24,AD24)</f>
        <v>41</v>
      </c>
      <c r="AD25" s="224">
        <f>AH8</f>
        <v>47.3</v>
      </c>
      <c r="AE25" s="209">
        <f>AD25-AC25</f>
        <v>6.2999999999999972</v>
      </c>
      <c r="AF25" s="210">
        <f>IF(OR(AB25=0,AE25=0),0,ROUND(AE25/AB25,5))</f>
        <v>0</v>
      </c>
      <c r="AG25" s="211">
        <f ca="1">IF(AND(AA20&gt;=Z25,AA20&lt;AA25),AC25+((AA20-Z25)*AF25),AC25)</f>
        <v>41</v>
      </c>
      <c r="AH25" s="213">
        <f>AH24</f>
        <v>47.3</v>
      </c>
      <c r="AI25" s="237"/>
      <c r="AJ25" s="237"/>
    </row>
    <row r="26" spans="2:36" ht="13.5" thickTop="1" x14ac:dyDescent="0.2">
      <c r="I26" s="8" t="str">
        <f>"R Front:  "&amp;IF(E7=0,"---",E7&amp;"#")</f>
        <v>R Front:  ---</v>
      </c>
      <c r="P26" s="238"/>
      <c r="Q26" s="239" t="str">
        <f t="shared" si="0"/>
        <v>Ln26</v>
      </c>
      <c r="R26" s="258"/>
      <c r="S26" s="86" t="s">
        <v>11</v>
      </c>
      <c r="T26" s="261"/>
      <c r="U26" s="309">
        <v>37</v>
      </c>
      <c r="V26" s="342">
        <f>C7+E7</f>
        <v>0</v>
      </c>
      <c r="W26" s="334"/>
      <c r="X26" s="237"/>
      <c r="Y26" s="272" t="s">
        <v>52</v>
      </c>
      <c r="Z26" s="203">
        <f>AA25</f>
        <v>2550</v>
      </c>
      <c r="AA26" s="221">
        <f>AC16</f>
        <v>2550</v>
      </c>
      <c r="AB26" s="206">
        <f>+AA26-Z26</f>
        <v>0</v>
      </c>
      <c r="AC26" s="208">
        <f>IF(AD26=AD25,AC25,AD25)</f>
        <v>41</v>
      </c>
      <c r="AD26" s="225">
        <f>AH16</f>
        <v>47.3</v>
      </c>
      <c r="AE26" s="214">
        <f>AD26-AC26</f>
        <v>6.2999999999999972</v>
      </c>
      <c r="AF26" s="215">
        <f>IF(OR(AB26=0,AE26=0),0,ROUND(AE26/AB26,5))</f>
        <v>0</v>
      </c>
      <c r="AG26" s="216">
        <f ca="1">IF(AND(AA20&gt;=Z26,AA20&lt;AA26),AC26+((AA20-Z26)*AF26),AC26)</f>
        <v>41</v>
      </c>
      <c r="AH26" s="217">
        <f>AH25</f>
        <v>47.3</v>
      </c>
      <c r="AI26" s="237"/>
      <c r="AJ26" s="237"/>
    </row>
    <row r="27" spans="2:36" ht="12.75" customHeight="1" x14ac:dyDescent="0.2">
      <c r="B27" s="60" t="s">
        <v>79</v>
      </c>
      <c r="H27" s="1"/>
      <c r="I27" s="8" t="str">
        <f>"L  Rear:  "&amp;IF(C9=0,"---",C9&amp;"#")</f>
        <v>L  Rear:  ---</v>
      </c>
      <c r="P27" s="238"/>
      <c r="Q27" s="239" t="str">
        <f t="shared" si="0"/>
        <v>Ln27</v>
      </c>
      <c r="R27" s="258"/>
      <c r="S27" s="86" t="s">
        <v>12</v>
      </c>
      <c r="T27" s="261"/>
      <c r="U27" s="309">
        <v>73</v>
      </c>
      <c r="V27" s="342">
        <f>C9+E9</f>
        <v>0</v>
      </c>
      <c r="W27" s="334"/>
      <c r="X27" s="237"/>
      <c r="Y27" s="237"/>
      <c r="Z27" s="237"/>
      <c r="AA27" s="237"/>
      <c r="AB27" s="237"/>
      <c r="AC27" s="237"/>
      <c r="AD27" s="237"/>
      <c r="AE27" s="237"/>
      <c r="AF27" s="237"/>
      <c r="AG27" s="237"/>
      <c r="AH27" s="237"/>
      <c r="AI27" s="237"/>
      <c r="AJ27" s="237"/>
    </row>
    <row r="28" spans="2:36" ht="13.5" thickBot="1" x14ac:dyDescent="0.25">
      <c r="B28" s="22" t="s">
        <v>127</v>
      </c>
      <c r="D28" s="782">
        <f>U37+(J15*-1)</f>
        <v>962</v>
      </c>
      <c r="E28" s="783"/>
      <c r="F28" s="784" t="str">
        <f>"( "&amp;TEXT(U37,"#,##0")&amp;"+"&amp;J15*-1&amp;" )"</f>
        <v>( 955+7 )</v>
      </c>
      <c r="G28" s="785"/>
      <c r="H28" s="785"/>
      <c r="I28" s="8" t="str">
        <f>"R  Rear:  "&amp;IF(E9=0,"---",E9&amp;"#")</f>
        <v>R  Rear:  ---</v>
      </c>
      <c r="P28" s="238"/>
      <c r="Q28" s="237"/>
      <c r="R28" s="237"/>
      <c r="S28" s="237"/>
      <c r="T28" s="237"/>
      <c r="U28" s="343"/>
      <c r="V28" s="343"/>
      <c r="W28" s="237"/>
      <c r="X28" s="237"/>
      <c r="Y28" s="237"/>
      <c r="Z28" s="237"/>
      <c r="AA28" s="237"/>
      <c r="AB28" s="237"/>
      <c r="AC28" s="237"/>
      <c r="AD28" s="237"/>
      <c r="AE28" s="237"/>
      <c r="AF28" s="237"/>
      <c r="AG28" s="237"/>
      <c r="AH28" s="237"/>
      <c r="AI28" s="237"/>
      <c r="AJ28" s="237"/>
    </row>
    <row r="29" spans="2:36" ht="13.5" thickBot="1" x14ac:dyDescent="0.25">
      <c r="B29" s="22" t="s">
        <v>126</v>
      </c>
      <c r="D29" s="786">
        <f>SUM(J8:J13)</f>
        <v>0</v>
      </c>
      <c r="E29" s="787"/>
      <c r="I29" s="8" t="str">
        <f>"Bag 1:  "&amp;IF(C11=0,"---",C11&amp;"#")</f>
        <v>Bag 1:  ---</v>
      </c>
      <c r="P29" s="238"/>
      <c r="Q29" s="239" t="str">
        <f t="shared" si="0"/>
        <v>Ln29</v>
      </c>
      <c r="R29" s="83" t="str">
        <f>IF(C11&gt;V29,"ERR","OK")</f>
        <v>OK</v>
      </c>
      <c r="S29" s="86" t="s">
        <v>25</v>
      </c>
      <c r="T29" s="261"/>
      <c r="U29" s="309">
        <v>95</v>
      </c>
      <c r="V29" s="344">
        <v>120</v>
      </c>
      <c r="W29" s="300" t="s">
        <v>176</v>
      </c>
      <c r="X29" s="237"/>
      <c r="Y29" s="237"/>
      <c r="Z29" s="237"/>
      <c r="AA29" s="237"/>
      <c r="AB29" s="237"/>
      <c r="AC29" s="237"/>
      <c r="AD29" s="237"/>
      <c r="AE29" s="237"/>
      <c r="AF29" s="237"/>
      <c r="AG29" s="237"/>
      <c r="AH29" s="237"/>
      <c r="AI29" s="237"/>
      <c r="AJ29" s="237"/>
    </row>
    <row r="30" spans="2:36" ht="15.75" x14ac:dyDescent="0.3">
      <c r="B30" s="22" t="str">
        <f>IF(D29&lt;=D28,"Lbs before overweight","OVERWEIGHT")</f>
        <v>Lbs before overweight</v>
      </c>
      <c r="D30" s="788">
        <f>ABS(D28-D29)</f>
        <v>962</v>
      </c>
      <c r="E30" s="789"/>
      <c r="F30" s="790" t="str">
        <f>IF(D29&gt;D28,"# Over","")</f>
        <v/>
      </c>
      <c r="G30" s="791"/>
      <c r="H30" s="791"/>
      <c r="I30" s="8" t="str">
        <f>"Bag 2:  "&amp;IF(C12=0,"---",C12&amp;"#")</f>
        <v>Bag 2:  ---</v>
      </c>
      <c r="P30" s="238"/>
      <c r="Q30" s="239" t="str">
        <f t="shared" si="0"/>
        <v>Ln30</v>
      </c>
      <c r="R30" s="83" t="str">
        <f>IF(C12&gt;V30,"ERR","OK")</f>
        <v>OK</v>
      </c>
      <c r="S30" s="86" t="s">
        <v>26</v>
      </c>
      <c r="T30" s="85"/>
      <c r="U30" s="309">
        <v>123</v>
      </c>
      <c r="V30" s="344">
        <v>50</v>
      </c>
      <c r="W30" s="300" t="s">
        <v>176</v>
      </c>
      <c r="X30" s="237"/>
      <c r="Y30" s="237"/>
      <c r="Z30" s="245"/>
      <c r="AA30" s="246"/>
      <c r="AB30" s="295" t="s">
        <v>165</v>
      </c>
      <c r="AC30" s="247"/>
      <c r="AD30" s="247"/>
      <c r="AE30" s="247"/>
      <c r="AF30" s="247"/>
      <c r="AG30" s="247"/>
      <c r="AH30" s="237"/>
      <c r="AI30" s="237"/>
      <c r="AJ30" s="237"/>
    </row>
    <row r="31" spans="2:36" ht="15.75" thickBot="1" x14ac:dyDescent="0.3">
      <c r="P31" s="238"/>
      <c r="Q31" s="239" t="str">
        <f t="shared" si="0"/>
        <v>Ln31</v>
      </c>
      <c r="R31" s="83" t="str">
        <f>IF(C11+C12&gt;V31,"ERR","OK")</f>
        <v>OK</v>
      </c>
      <c r="S31" s="87" t="s">
        <v>30</v>
      </c>
      <c r="T31" s="85"/>
      <c r="U31" s="345"/>
      <c r="V31" s="344">
        <v>120</v>
      </c>
      <c r="W31" s="237"/>
      <c r="X31" s="237"/>
      <c r="Y31" s="237"/>
      <c r="Z31" s="237"/>
      <c r="AA31" s="237"/>
      <c r="AB31" s="237"/>
      <c r="AC31" s="243" t="s">
        <v>162</v>
      </c>
      <c r="AD31" s="237"/>
      <c r="AE31" s="237"/>
      <c r="AF31" s="237"/>
      <c r="AG31" s="246"/>
      <c r="AH31" s="237"/>
      <c r="AI31" s="237"/>
      <c r="AJ31" s="237"/>
    </row>
    <row r="32" spans="2:36" ht="13.5" thickTop="1" x14ac:dyDescent="0.2">
      <c r="I32" s="8"/>
      <c r="P32" s="238"/>
      <c r="Q32" s="239" t="str">
        <f t="shared" si="0"/>
        <v>Ln32</v>
      </c>
      <c r="R32" s="258"/>
      <c r="S32" s="337" t="s">
        <v>152</v>
      </c>
      <c r="T32" s="258"/>
      <c r="U32" s="345"/>
      <c r="V32" s="345"/>
      <c r="W32" s="237"/>
      <c r="X32" s="237"/>
      <c r="Y32" s="226"/>
      <c r="Z32" s="227"/>
      <c r="AA32" s="323">
        <v>2550</v>
      </c>
      <c r="AC32" s="191">
        <f>AA32</f>
        <v>2550</v>
      </c>
      <c r="AD32" s="237"/>
      <c r="AF32" s="325">
        <v>41</v>
      </c>
      <c r="AH32" s="315">
        <v>47.3</v>
      </c>
      <c r="AI32" s="237"/>
      <c r="AJ32" s="237"/>
    </row>
    <row r="33" spans="8:36" x14ac:dyDescent="0.2">
      <c r="I33" s="9" t="s">
        <v>63</v>
      </c>
      <c r="P33" s="238"/>
      <c r="Q33" s="239" t="str">
        <f t="shared" si="0"/>
        <v>Ln33</v>
      </c>
      <c r="R33" s="258"/>
      <c r="S33" s="337" t="s">
        <v>152</v>
      </c>
      <c r="T33" s="258"/>
      <c r="U33" s="345"/>
      <c r="V33" s="345"/>
      <c r="W33" s="237"/>
      <c r="X33" s="237"/>
      <c r="Y33" s="228"/>
      <c r="Z33" s="7"/>
      <c r="AD33" s="237"/>
      <c r="AI33" s="237"/>
      <c r="AJ33" s="237"/>
    </row>
    <row r="34" spans="8:36" ht="13.5" x14ac:dyDescent="0.25">
      <c r="I34" s="10" t="str">
        <f>"Start:  "&amp;TEXT(D15,("###.0"))&amp;" USG"</f>
        <v>Start:  .0 USG</v>
      </c>
      <c r="P34" s="238"/>
      <c r="Q34" s="239" t="str">
        <f t="shared" si="0"/>
        <v>Ln34</v>
      </c>
      <c r="R34" s="258"/>
      <c r="S34" s="337" t="s">
        <v>152</v>
      </c>
      <c r="T34" s="258"/>
      <c r="U34" s="345"/>
      <c r="V34" s="345"/>
      <c r="W34" s="237"/>
      <c r="X34" s="237"/>
      <c r="Y34" s="306" t="s">
        <v>155</v>
      </c>
      <c r="Z34" s="7"/>
      <c r="AD34" s="237"/>
      <c r="AI34" s="237"/>
      <c r="AJ34" s="237"/>
    </row>
    <row r="35" spans="8:36" ht="13.5" x14ac:dyDescent="0.25">
      <c r="I35" s="10" t="str">
        <f>"Used:    "&amp;TEXT(D18,("###.0"))&amp;" USG"</f>
        <v>Used:    .0 USG</v>
      </c>
      <c r="P35" s="238"/>
      <c r="Q35" s="237"/>
      <c r="R35" s="237"/>
      <c r="S35" s="237"/>
      <c r="T35" s="237"/>
      <c r="U35" s="237"/>
      <c r="V35" s="237"/>
      <c r="W35" s="237"/>
      <c r="X35" s="237"/>
      <c r="Y35" s="306" t="s">
        <v>50</v>
      </c>
      <c r="Z35" s="7"/>
      <c r="AA35" s="815" t="s">
        <v>1</v>
      </c>
      <c r="AB35" s="815"/>
      <c r="AD35" s="237"/>
      <c r="AE35" s="627">
        <f>AE40</f>
        <v>35</v>
      </c>
      <c r="AF35" s="815" t="s">
        <v>154</v>
      </c>
      <c r="AG35" s="815"/>
      <c r="AI35" s="237"/>
      <c r="AJ35" s="237"/>
    </row>
    <row r="36" spans="8:36" ht="13.5" x14ac:dyDescent="0.25">
      <c r="I36" s="10" t="str">
        <f>"Reserve:  "&amp;TEXT(D15-D18,"###.0")&amp;" USG"</f>
        <v>Reserve:  .0 USG</v>
      </c>
      <c r="P36" s="238"/>
      <c r="Q36" s="333" t="s">
        <v>160</v>
      </c>
      <c r="R36" s="247"/>
      <c r="S36" s="247"/>
      <c r="T36" s="247"/>
      <c r="U36" s="248" t="s">
        <v>1</v>
      </c>
      <c r="V36" s="237"/>
      <c r="W36" s="237"/>
      <c r="X36" s="237"/>
      <c r="Y36" s="306" t="s">
        <v>56</v>
      </c>
      <c r="Z36" s="323">
        <v>1948</v>
      </c>
      <c r="AA36" s="815" t="s">
        <v>153</v>
      </c>
      <c r="AB36" s="815"/>
      <c r="AD36" s="237"/>
      <c r="AF36" s="815" t="s">
        <v>153</v>
      </c>
      <c r="AG36" s="815"/>
      <c r="AI36" s="237"/>
      <c r="AJ36" s="237"/>
    </row>
    <row r="37" spans="8:36" ht="13.5" x14ac:dyDescent="0.25">
      <c r="P37" s="238"/>
      <c r="Q37" s="239" t="str">
        <f t="shared" ref="Q37:Q39" si="1">"Ln"&amp;ROW()</f>
        <v>Ln37</v>
      </c>
      <c r="R37" s="263"/>
      <c r="S37" s="264" t="s">
        <v>77</v>
      </c>
      <c r="T37" s="346"/>
      <c r="U37" s="347">
        <f>ROUNDDOWN(U8-U7,0)</f>
        <v>955</v>
      </c>
      <c r="V37" s="237"/>
      <c r="W37" s="237"/>
      <c r="X37" s="237"/>
      <c r="Y37" s="306" t="s">
        <v>57</v>
      </c>
      <c r="Z37" s="7"/>
      <c r="AC37" s="816" t="s">
        <v>157</v>
      </c>
      <c r="AD37" s="237"/>
      <c r="AH37" s="816" t="s">
        <v>157</v>
      </c>
      <c r="AI37" s="237"/>
      <c r="AJ37" s="237"/>
    </row>
    <row r="38" spans="8:36" ht="13.5" x14ac:dyDescent="0.25">
      <c r="I38" s="9" t="s">
        <v>72</v>
      </c>
      <c r="P38" s="238"/>
      <c r="Q38" s="239" t="str">
        <f t="shared" si="1"/>
        <v>Ln38</v>
      </c>
      <c r="R38" s="263"/>
      <c r="S38" s="264" t="s">
        <v>76</v>
      </c>
      <c r="T38" s="346"/>
      <c r="U38" s="347">
        <f>IF(T19=0,"",U37-V19)</f>
        <v>715</v>
      </c>
      <c r="V38" s="237"/>
      <c r="W38" s="237"/>
      <c r="X38" s="237"/>
      <c r="Y38" s="306" t="s">
        <v>156</v>
      </c>
      <c r="Z38" s="7"/>
      <c r="AC38" s="816"/>
      <c r="AD38" s="237"/>
      <c r="AH38" s="816"/>
      <c r="AI38" s="237"/>
      <c r="AJ38" s="237"/>
    </row>
    <row r="39" spans="8:36" ht="13.5" x14ac:dyDescent="0.25">
      <c r="H39" s="7"/>
      <c r="I39" s="63" t="str">
        <f>IF(T42="","","Max Flight (NO Res)")</f>
        <v/>
      </c>
      <c r="P39" s="238"/>
      <c r="Q39" s="239" t="str">
        <f t="shared" si="1"/>
        <v>Ln39</v>
      </c>
      <c r="R39" s="263"/>
      <c r="S39" s="264" t="s">
        <v>78</v>
      </c>
      <c r="T39" s="348"/>
      <c r="U39" s="347">
        <f>U37-V18</f>
        <v>715</v>
      </c>
      <c r="V39" s="237"/>
      <c r="W39" s="237"/>
      <c r="X39" s="237"/>
      <c r="Y39" s="306" t="s">
        <v>47</v>
      </c>
      <c r="Z39" s="7"/>
      <c r="AC39" s="819"/>
      <c r="AD39" s="237"/>
      <c r="AH39" s="819"/>
      <c r="AI39" s="237"/>
      <c r="AJ39" s="237"/>
    </row>
    <row r="40" spans="8:36" x14ac:dyDescent="0.2">
      <c r="H40" s="7"/>
      <c r="I40" s="21" t="str">
        <f>IF(T42="","","~"&amp;TEXT(T42,("##.0"))&amp;" hrs")</f>
        <v/>
      </c>
      <c r="P40" s="238"/>
      <c r="Q40" s="237"/>
      <c r="R40" s="237"/>
      <c r="S40" s="237"/>
      <c r="T40" s="343"/>
      <c r="U40" s="343"/>
      <c r="V40" s="237"/>
      <c r="W40" s="237"/>
      <c r="X40" s="237"/>
      <c r="Y40" s="228"/>
      <c r="Z40" s="323">
        <v>1500</v>
      </c>
      <c r="AC40" s="191">
        <f>AC32</f>
        <v>2550</v>
      </c>
      <c r="AD40" s="237"/>
      <c r="AE40" s="324">
        <v>35</v>
      </c>
      <c r="AF40" s="7"/>
      <c r="AG40" s="7"/>
      <c r="AH40" s="233">
        <f>AH32</f>
        <v>47.3</v>
      </c>
      <c r="AI40" s="242"/>
      <c r="AJ40" s="242"/>
    </row>
    <row r="41" spans="8:36" ht="14.25" thickBot="1" x14ac:dyDescent="0.3">
      <c r="I41" s="61" t="str">
        <f>IF(T42="","","@ "&amp;TEXT(D16,"##.0")&amp;" GPH")</f>
        <v/>
      </c>
      <c r="P41" s="238"/>
      <c r="Q41" s="333" t="s">
        <v>119</v>
      </c>
      <c r="R41" s="247"/>
      <c r="S41" s="248"/>
      <c r="T41" s="349" t="s">
        <v>121</v>
      </c>
      <c r="U41" s="343"/>
      <c r="V41" s="237"/>
      <c r="W41" s="237"/>
      <c r="X41" s="237"/>
      <c r="Y41" s="229"/>
      <c r="Z41" s="230"/>
      <c r="AD41" s="237"/>
      <c r="AE41" s="231"/>
      <c r="AF41" s="820" t="s">
        <v>161</v>
      </c>
      <c r="AG41" s="820"/>
      <c r="AH41" s="232"/>
      <c r="AI41" s="237"/>
      <c r="AJ41" s="237"/>
    </row>
    <row r="42" spans="8:36" ht="13.5" thickTop="1" x14ac:dyDescent="0.2">
      <c r="I42" s="65" t="str">
        <f>IF(R52&lt;&gt;"OK","","  At end of ")</f>
        <v/>
      </c>
      <c r="P42" s="238"/>
      <c r="Q42" s="239" t="str">
        <f t="shared" ref="Q42:Q43" si="2">"Ln"&amp;ROW()</f>
        <v>Ln42</v>
      </c>
      <c r="R42" s="265" t="s">
        <v>91</v>
      </c>
      <c r="S42" s="266"/>
      <c r="T42" s="350" t="str">
        <f>IF(AND(D15&gt;0,D18&gt;0),ROUND(D15/D16,3),"")</f>
        <v/>
      </c>
      <c r="U42" s="343"/>
      <c r="V42" s="237"/>
      <c r="W42" s="237"/>
      <c r="X42" s="237"/>
      <c r="Y42" s="237"/>
      <c r="Z42" s="237"/>
      <c r="AA42" s="237"/>
      <c r="AB42" s="237"/>
      <c r="AC42" s="237"/>
      <c r="AD42" s="237"/>
      <c r="AE42" s="237"/>
      <c r="AF42" s="237"/>
      <c r="AG42" s="237"/>
      <c r="AH42" s="237"/>
      <c r="AI42" s="237"/>
      <c r="AJ42" s="237"/>
    </row>
    <row r="43" spans="8:36" ht="13.5" thickBot="1" x14ac:dyDescent="0.25">
      <c r="I43" s="66" t="str">
        <f>IF(R52&lt;&gt;"OK","",TEXT(D17,"##.0")&amp;" Hr Trip . . ")</f>
        <v/>
      </c>
      <c r="P43" s="238"/>
      <c r="Q43" s="239" t="str">
        <f t="shared" si="2"/>
        <v>Ln43</v>
      </c>
      <c r="R43" s="265" t="s">
        <v>95</v>
      </c>
      <c r="S43" s="266"/>
      <c r="T43" s="350" t="str">
        <f>IF(AND(D15&gt;0,D16&gt;0,D18&gt;0),ROUND((D15-D18)/D16,3),"")</f>
        <v/>
      </c>
      <c r="U43" s="343"/>
      <c r="V43" s="237"/>
      <c r="W43" s="237"/>
      <c r="X43" s="237"/>
      <c r="Y43" s="237"/>
      <c r="Z43" s="237"/>
      <c r="AA43" s="290" t="str">
        <f>IF(U8=U10,"OK",IF(AA44&gt;U10,"OUT","OK"))</f>
        <v>OK</v>
      </c>
      <c r="AB43" s="250" t="s">
        <v>164</v>
      </c>
      <c r="AC43" s="237"/>
      <c r="AD43" s="237"/>
      <c r="AE43" s="290" t="str">
        <f>IF(U8=U10,"OK",IF(AND(AE44&gt;=AG44,AE44&lt;=AH44),"OK","OUT"))</f>
        <v>OK</v>
      </c>
      <c r="AF43" s="237"/>
      <c r="AG43" s="237"/>
      <c r="AH43" s="237"/>
      <c r="AI43" s="237"/>
      <c r="AJ43" s="237"/>
    </row>
    <row r="44" spans="8:36" ht="14.25" thickTop="1" thickBot="1" x14ac:dyDescent="0.25">
      <c r="I44" s="62" t="str">
        <f>IF(R52&lt;&gt;"OK","","Reserve is ~ "&amp;TEXT(T43,"##.0")&amp;" Hrs")</f>
        <v/>
      </c>
      <c r="P44" s="238"/>
      <c r="Q44" s="237"/>
      <c r="R44" s="237"/>
      <c r="S44" s="237"/>
      <c r="T44" s="237"/>
      <c r="U44" s="237"/>
      <c r="V44" s="237"/>
      <c r="W44" s="237"/>
      <c r="X44" s="237"/>
      <c r="Y44" s="270" t="s">
        <v>53</v>
      </c>
      <c r="Z44" s="288" t="s">
        <v>1</v>
      </c>
      <c r="AA44" s="320">
        <f ca="1">J19</f>
        <v>1588</v>
      </c>
      <c r="AB44" s="236"/>
      <c r="AC44" s="292"/>
      <c r="AD44" s="289" t="s">
        <v>40</v>
      </c>
      <c r="AE44" s="320">
        <f ca="1">K20</f>
        <v>39.763853904282115</v>
      </c>
      <c r="AF44" s="287" t="s">
        <v>61</v>
      </c>
      <c r="AG44" s="321">
        <f ca="1">VLOOKUP(AA44,Z47:AH50,8)</f>
        <v>35</v>
      </c>
      <c r="AH44" s="322">
        <f ca="1">VLOOKUP(AA44,Z47:AH50,9)</f>
        <v>47.3</v>
      </c>
      <c r="AI44" s="237"/>
      <c r="AJ44" s="237"/>
    </row>
    <row r="45" spans="8:36" ht="13.5" thickTop="1" x14ac:dyDescent="0.2">
      <c r="I45" s="64" t="str">
        <f>IF(R52&lt;&gt;"OK","",IF(R53&lt;&gt;"OK","Caution: &lt; 1 HR",""))</f>
        <v/>
      </c>
      <c r="P45" s="238"/>
      <c r="Q45" s="333" t="s">
        <v>175</v>
      </c>
      <c r="R45" s="247"/>
      <c r="S45" s="248"/>
      <c r="T45" s="248"/>
      <c r="U45" s="237"/>
      <c r="V45" s="237"/>
      <c r="W45" s="237"/>
      <c r="X45" s="237"/>
      <c r="Y45" s="271" t="s">
        <v>48</v>
      </c>
      <c r="Z45" s="273"/>
      <c r="AA45" s="274" t="s">
        <v>67</v>
      </c>
      <c r="AB45" s="275"/>
      <c r="AC45" s="293"/>
      <c r="AD45" s="273"/>
      <c r="AE45" s="276" t="s">
        <v>66</v>
      </c>
      <c r="AF45" s="273"/>
      <c r="AG45" s="277" t="s">
        <v>46</v>
      </c>
      <c r="AH45" s="278" t="s">
        <v>46</v>
      </c>
      <c r="AI45" s="237"/>
      <c r="AJ45" s="237"/>
    </row>
    <row r="46" spans="8:36" ht="13.5" thickBot="1" x14ac:dyDescent="0.25">
      <c r="P46" s="238"/>
      <c r="Q46" s="239" t="str">
        <f t="shared" ref="Q46:Q53" si="3">"Ln"&amp;ROW()</f>
        <v>Ln46</v>
      </c>
      <c r="R46" s="262" t="str">
        <f>IF(AND(C7="",(E7+C9+E9)&gt;0),"WARN","OK")</f>
        <v>OK</v>
      </c>
      <c r="S46" s="267" t="s">
        <v>89</v>
      </c>
      <c r="T46" s="268"/>
      <c r="U46" s="237"/>
      <c r="V46" s="237"/>
      <c r="W46" s="237"/>
      <c r="X46" s="237"/>
      <c r="Y46" s="271" t="s">
        <v>54</v>
      </c>
      <c r="Z46" s="279" t="s">
        <v>41</v>
      </c>
      <c r="AA46" s="279" t="s">
        <v>42</v>
      </c>
      <c r="AB46" s="280" t="s">
        <v>43</v>
      </c>
      <c r="AC46" s="281" t="s">
        <v>41</v>
      </c>
      <c r="AD46" s="282" t="s">
        <v>42</v>
      </c>
      <c r="AE46" s="283" t="s">
        <v>44</v>
      </c>
      <c r="AF46" s="284" t="s">
        <v>45</v>
      </c>
      <c r="AG46" s="285" t="s">
        <v>68</v>
      </c>
      <c r="AH46" s="286" t="s">
        <v>69</v>
      </c>
      <c r="AI46" s="237"/>
      <c r="AJ46" s="237"/>
    </row>
    <row r="47" spans="8:36" ht="13.5" thickTop="1" x14ac:dyDescent="0.2">
      <c r="P47" s="238"/>
      <c r="Q47" s="239" t="str">
        <f t="shared" si="3"/>
        <v>Ln47</v>
      </c>
      <c r="R47" s="262" t="str">
        <f>IF(C7+E7+C9+E9&gt;0,"INFO","OK")</f>
        <v>OK</v>
      </c>
      <c r="S47" s="267" t="s">
        <v>92</v>
      </c>
      <c r="T47" s="268"/>
      <c r="U47" s="237"/>
      <c r="V47" s="237"/>
      <c r="W47" s="237"/>
      <c r="X47" s="237"/>
      <c r="Y47" s="271" t="s">
        <v>55</v>
      </c>
      <c r="Z47" s="218">
        <f>Z40</f>
        <v>1500</v>
      </c>
      <c r="AA47" s="219">
        <f>Z36</f>
        <v>1948</v>
      </c>
      <c r="AB47" s="204">
        <f>+AA47-Z47</f>
        <v>448</v>
      </c>
      <c r="AC47" s="222">
        <f>AE40</f>
        <v>35</v>
      </c>
      <c r="AD47" s="223">
        <f>AE35</f>
        <v>35</v>
      </c>
      <c r="AE47" s="209">
        <f>AD47-AC47</f>
        <v>0</v>
      </c>
      <c r="AF47" s="210">
        <f>IF(OR(AB47=0,AE47=0),0,ROUND(AE47/AB47,5))</f>
        <v>0</v>
      </c>
      <c r="AG47" s="211">
        <f ca="1">IF(AND(AA44&gt;=Z47,AA44&lt;AA47),AC47+((AA44-Z47)*AF47),AC47)</f>
        <v>35</v>
      </c>
      <c r="AH47" s="212">
        <f>AD50</f>
        <v>47.3</v>
      </c>
      <c r="AI47" s="237"/>
      <c r="AJ47" s="237"/>
    </row>
    <row r="48" spans="8:36" x14ac:dyDescent="0.2">
      <c r="P48" s="238"/>
      <c r="Q48" s="239" t="str">
        <f t="shared" si="3"/>
        <v>Ln48</v>
      </c>
      <c r="R48" s="262" t="str">
        <f>IF(AND(C7&gt;0,D15=0),"WARN","OK")</f>
        <v>OK</v>
      </c>
      <c r="S48" s="253" t="s">
        <v>111</v>
      </c>
      <c r="T48" s="269"/>
      <c r="U48" s="237"/>
      <c r="V48" s="237"/>
      <c r="W48" s="237"/>
      <c r="X48" s="237"/>
      <c r="Y48" s="271" t="s">
        <v>56</v>
      </c>
      <c r="Z48" s="202">
        <f>AA47</f>
        <v>1948</v>
      </c>
      <c r="AA48" s="220">
        <f>AA32</f>
        <v>2550</v>
      </c>
      <c r="AB48" s="205">
        <f>+AA48-Z48</f>
        <v>602</v>
      </c>
      <c r="AC48" s="207">
        <f>IF(AD48=AD47,AC47,AD47)</f>
        <v>35</v>
      </c>
      <c r="AD48" s="224">
        <f>AF32</f>
        <v>41</v>
      </c>
      <c r="AE48" s="209">
        <f>AD48-AC48</f>
        <v>6</v>
      </c>
      <c r="AF48" s="210">
        <f>IF(OR(AB48=0,AE48=0),0,ROUND(AE48/AB48,5))</f>
        <v>9.9699999999999997E-3</v>
      </c>
      <c r="AG48" s="211">
        <f ca="1">IF(AND(AA44&gt;=Z48,AA44&lt;AA48),AC48+((AA44-Z48)*AF48),AC48)</f>
        <v>35</v>
      </c>
      <c r="AH48" s="213">
        <f>AH47</f>
        <v>47.3</v>
      </c>
      <c r="AI48" s="237"/>
      <c r="AJ48" s="237"/>
    </row>
    <row r="49" spans="8:36" x14ac:dyDescent="0.2">
      <c r="P49" s="238"/>
      <c r="Q49" s="239" t="str">
        <f t="shared" si="3"/>
        <v>Ln49</v>
      </c>
      <c r="R49" s="262" t="str">
        <f>IF(AND(C7&gt;0,D16=0),"WARN","OK")</f>
        <v>OK</v>
      </c>
      <c r="S49" s="253" t="s">
        <v>113</v>
      </c>
      <c r="T49" s="269"/>
      <c r="U49" s="237"/>
      <c r="V49" s="237"/>
      <c r="W49" s="237"/>
      <c r="X49" s="237"/>
      <c r="Y49" s="271" t="s">
        <v>54</v>
      </c>
      <c r="Z49" s="202">
        <f>AA48</f>
        <v>2550</v>
      </c>
      <c r="AA49" s="220">
        <f>AC32</f>
        <v>2550</v>
      </c>
      <c r="AB49" s="205">
        <f>+AA49-Z49</f>
        <v>0</v>
      </c>
      <c r="AC49" s="207">
        <f>IF(AD49=AD48,AC48,AD48)</f>
        <v>41</v>
      </c>
      <c r="AD49" s="224">
        <f>AH32</f>
        <v>47.3</v>
      </c>
      <c r="AE49" s="209">
        <f>AD49-AC49</f>
        <v>6.2999999999999972</v>
      </c>
      <c r="AF49" s="210">
        <f>IF(OR(AB49=0,AE49=0),0,ROUND(AE49/AB49,5))</f>
        <v>0</v>
      </c>
      <c r="AG49" s="211">
        <f ca="1">IF(AND(AA44&gt;=Z49,AA44&lt;AA49),AC49+((AA44-Z49)*AF49),AC49)</f>
        <v>41</v>
      </c>
      <c r="AH49" s="213">
        <f>AH48</f>
        <v>47.3</v>
      </c>
      <c r="AI49" s="237"/>
      <c r="AJ49" s="237"/>
    </row>
    <row r="50" spans="8:36" ht="13.5" thickBot="1" x14ac:dyDescent="0.25">
      <c r="P50" s="238"/>
      <c r="Q50" s="239" t="str">
        <f t="shared" si="3"/>
        <v>Ln50</v>
      </c>
      <c r="R50" s="262" t="str">
        <f>IF(AND(C7&gt;0,D17=0),"WARN","OK")</f>
        <v>OK</v>
      </c>
      <c r="S50" s="253" t="s">
        <v>112</v>
      </c>
      <c r="T50" s="269"/>
      <c r="U50" s="237"/>
      <c r="V50" s="237"/>
      <c r="W50" s="237"/>
      <c r="X50" s="237"/>
      <c r="Y50" s="272" t="s">
        <v>57</v>
      </c>
      <c r="Z50" s="203">
        <f>AA49</f>
        <v>2550</v>
      </c>
      <c r="AA50" s="221">
        <f>AC40</f>
        <v>2550</v>
      </c>
      <c r="AB50" s="206">
        <f>+AA50-Z50</f>
        <v>0</v>
      </c>
      <c r="AC50" s="208">
        <f>IF(AD50=AD49,AC49,AD49)</f>
        <v>41</v>
      </c>
      <c r="AD50" s="225">
        <f>AH40</f>
        <v>47.3</v>
      </c>
      <c r="AE50" s="214">
        <f>AD50-AC50</f>
        <v>6.2999999999999972</v>
      </c>
      <c r="AF50" s="215">
        <f>IF(OR(AB50=0,AE50=0),0,ROUND(AE50/AB50,5))</f>
        <v>0</v>
      </c>
      <c r="AG50" s="216">
        <f ca="1">IF(AND(AA44&gt;=Z50,AA44&lt;AA50),AC50+((AA44-Z50)*AF50),AC50)</f>
        <v>41</v>
      </c>
      <c r="AH50" s="217">
        <f>AH49</f>
        <v>47.3</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238"/>
      <c r="Q51" s="239" t="str">
        <f t="shared" si="3"/>
        <v>Ln51</v>
      </c>
      <c r="R51" s="262" t="str">
        <f>IF(D18&gt;D15,"ERR","OK")</f>
        <v>OK</v>
      </c>
      <c r="S51" s="253" t="s">
        <v>94</v>
      </c>
      <c r="T51" s="269"/>
      <c r="U51" s="237"/>
      <c r="V51" s="237"/>
      <c r="W51" s="237"/>
      <c r="X51" s="237"/>
      <c r="Y51" s="237"/>
      <c r="Z51" s="237"/>
      <c r="AA51" s="237"/>
      <c r="AB51" s="237"/>
      <c r="AC51" s="237"/>
      <c r="AD51" s="237"/>
      <c r="AE51" s="237"/>
      <c r="AF51" s="237"/>
      <c r="AG51" s="237"/>
      <c r="AH51" s="237"/>
      <c r="AI51" s="237"/>
      <c r="AJ51" s="237"/>
    </row>
    <row r="52" spans="8:36" x14ac:dyDescent="0.2">
      <c r="I52" s="758"/>
      <c r="J52" s="762"/>
      <c r="K52" s="762"/>
      <c r="L52" s="762"/>
      <c r="M52" s="763"/>
      <c r="P52" s="238"/>
      <c r="Q52" s="239" t="str">
        <f t="shared" si="3"/>
        <v>Ln52</v>
      </c>
      <c r="R52" s="262" t="str">
        <f>IF(OR(D15=0,D16=0,D17=0),"WARN","OK")</f>
        <v>WARN</v>
      </c>
      <c r="S52" s="253" t="s">
        <v>110</v>
      </c>
      <c r="T52" s="269"/>
      <c r="U52" s="237"/>
      <c r="V52" s="237"/>
      <c r="W52" s="237"/>
      <c r="X52" s="237"/>
      <c r="Y52" s="237"/>
      <c r="Z52" s="237"/>
      <c r="AA52" s="237"/>
      <c r="AB52" s="237"/>
      <c r="AC52" s="237"/>
      <c r="AD52" s="237"/>
      <c r="AE52" s="237"/>
      <c r="AF52" s="237"/>
      <c r="AG52" s="237"/>
      <c r="AH52" s="237"/>
      <c r="AI52" s="237"/>
      <c r="AJ52" s="237"/>
    </row>
    <row r="53" spans="8:36" ht="13.5" thickBot="1" x14ac:dyDescent="0.25">
      <c r="I53" s="759"/>
      <c r="J53" s="764"/>
      <c r="K53" s="764"/>
      <c r="L53" s="764"/>
      <c r="M53" s="765"/>
      <c r="P53" s="238"/>
      <c r="Q53" s="239" t="str">
        <f t="shared" si="3"/>
        <v>Ln53</v>
      </c>
      <c r="R53" s="262" t="str">
        <f>IF(AND(D15&gt;0,D16&gt;0,D18&gt;0,T43&lt;1),"WARN","OK")</f>
        <v>OK</v>
      </c>
      <c r="S53" s="253" t="s">
        <v>90</v>
      </c>
      <c r="T53" s="269"/>
      <c r="U53" s="237"/>
      <c r="V53" s="237"/>
      <c r="W53" s="237"/>
      <c r="X53" s="237"/>
      <c r="Y53" s="237"/>
      <c r="Z53" s="237"/>
      <c r="AA53" s="237"/>
      <c r="AB53" s="237"/>
      <c r="AC53" s="237"/>
      <c r="AD53" s="237"/>
      <c r="AE53" s="237"/>
      <c r="AF53" s="237"/>
      <c r="AG53" s="237"/>
      <c r="AH53" s="237"/>
      <c r="AI53" s="237"/>
      <c r="AJ53" s="237"/>
    </row>
    <row r="54" spans="8:36" ht="13.5" thickTop="1" x14ac:dyDescent="0.2">
      <c r="I54" s="650" t="str">
        <f>IF(C4&lt;&gt;9999,"","Env "&amp;Z23&amp;"  "&amp;AA23&amp;"  "&amp;AA24&amp;"  "&amp;AA25&amp;"  "&amp;AA26&amp;"     "&amp;AC23&amp;"  "&amp;AD23&amp;"  "&amp;AD24&amp;"  "&amp;AD25&amp;"  "&amp;AD26)</f>
        <v/>
      </c>
      <c r="P54" s="238"/>
      <c r="Q54" s="237"/>
      <c r="R54" s="237"/>
      <c r="S54" s="237"/>
      <c r="T54" s="237"/>
      <c r="U54" s="237"/>
      <c r="V54" s="237"/>
      <c r="W54" s="237"/>
      <c r="X54" s="237"/>
      <c r="Y54" s="237"/>
      <c r="Z54" s="237"/>
      <c r="AA54" s="237"/>
      <c r="AB54" s="237"/>
      <c r="AC54" s="237"/>
      <c r="AD54" s="237"/>
      <c r="AE54" s="237"/>
      <c r="AF54" s="237"/>
      <c r="AG54" s="237"/>
      <c r="AH54" s="237"/>
      <c r="AI54" s="237"/>
      <c r="AJ54" s="237"/>
    </row>
    <row r="55" spans="8:36" x14ac:dyDescent="0.2">
      <c r="I55" s="651" t="str">
        <f>IF(C4&lt;&gt;9999,"","Fuel  T "&amp;T19&amp;"   F "&amp;T18&amp;"      Load   0 "&amp;U37&amp;"  T "&amp;U38&amp;"  F "&amp;U39)</f>
        <v/>
      </c>
      <c r="P55" s="238"/>
      <c r="Q55" s="237"/>
      <c r="R55" s="237"/>
      <c r="S55" s="237"/>
      <c r="T55" s="237"/>
      <c r="U55" s="237"/>
      <c r="V55" s="237"/>
      <c r="W55" s="237"/>
      <c r="X55" s="237"/>
      <c r="Y55" s="237"/>
      <c r="Z55" s="237"/>
      <c r="AA55" s="237"/>
      <c r="AB55" s="237"/>
      <c r="AC55" s="237"/>
      <c r="AD55" s="237"/>
      <c r="AE55" s="237"/>
      <c r="AF55" s="237"/>
      <c r="AG55" s="237"/>
      <c r="AH55" s="237"/>
      <c r="AI55" s="237"/>
      <c r="AJ55" s="237"/>
    </row>
    <row r="56" spans="8:36" x14ac:dyDescent="0.2">
      <c r="P56" s="238"/>
      <c r="Q56" s="237"/>
      <c r="R56" s="237"/>
      <c r="S56" s="237"/>
      <c r="T56" s="237"/>
      <c r="U56" s="237"/>
      <c r="V56" s="237"/>
      <c r="W56" s="237"/>
      <c r="X56" s="237"/>
      <c r="Y56" s="237"/>
      <c r="Z56" s="237"/>
      <c r="AA56" s="237"/>
      <c r="AB56" s="237"/>
      <c r="AC56" s="237"/>
      <c r="AD56" s="237"/>
      <c r="AE56" s="237"/>
      <c r="AF56" s="237"/>
      <c r="AG56" s="237"/>
      <c r="AH56" s="237"/>
      <c r="AI56" s="237"/>
      <c r="AJ56" s="237"/>
    </row>
  </sheetData>
  <sheetProtection algorithmName="SHA-512" hashValue="anqS2OlQJmG1NXHwmR8SxYe2JrThgN9EuAb8nDkogqyg9sUjljK1MQlWlcMRkvprjswoXgf71hJlUxMLvY+fNQ==" saltValue="PS51p+aC5l0wVxRoY+xcSw==" spinCount="100000" sheet="1" selectLockedCells="1"/>
  <mergeCells count="44">
    <mergeCell ref="I51:I53"/>
    <mergeCell ref="J51:M53"/>
    <mergeCell ref="AF35:AG35"/>
    <mergeCell ref="AA36:AB36"/>
    <mergeCell ref="AF36:AG36"/>
    <mergeCell ref="AC37:AC39"/>
    <mergeCell ref="AF41:AG41"/>
    <mergeCell ref="AA35:AB35"/>
    <mergeCell ref="B21:B22"/>
    <mergeCell ref="C21:F22"/>
    <mergeCell ref="C23:F23"/>
    <mergeCell ref="C24:F24"/>
    <mergeCell ref="AH37:AH39"/>
    <mergeCell ref="C25:F25"/>
    <mergeCell ref="D28:E28"/>
    <mergeCell ref="F28:H28"/>
    <mergeCell ref="D29:E29"/>
    <mergeCell ref="D30:E30"/>
    <mergeCell ref="F30:H30"/>
    <mergeCell ref="AH13:AH15"/>
    <mergeCell ref="D15:E15"/>
    <mergeCell ref="D16:E16"/>
    <mergeCell ref="D17:E17"/>
    <mergeCell ref="AF17:AG17"/>
    <mergeCell ref="D18:E18"/>
    <mergeCell ref="C11:F11"/>
    <mergeCell ref="AA11:AB11"/>
    <mergeCell ref="AF11:AG11"/>
    <mergeCell ref="C12:F12"/>
    <mergeCell ref="AA12:AB12"/>
    <mergeCell ref="AF12:AG12"/>
    <mergeCell ref="AC13:AC15"/>
    <mergeCell ref="B7:B8"/>
    <mergeCell ref="C7:D8"/>
    <mergeCell ref="E7:F8"/>
    <mergeCell ref="B9:B10"/>
    <mergeCell ref="C9:D10"/>
    <mergeCell ref="E9:F10"/>
    <mergeCell ref="C4:D4"/>
    <mergeCell ref="B1:H1"/>
    <mergeCell ref="C2:E2"/>
    <mergeCell ref="J2:K2"/>
    <mergeCell ref="D3:F3"/>
    <mergeCell ref="J3:K3"/>
  </mergeCells>
  <conditionalFormatting sqref="T37:T38">
    <cfRule type="expression" dxfId="916" priority="14" stopIfTrue="1">
      <formula>S37=""</formula>
    </cfRule>
  </conditionalFormatting>
  <conditionalFormatting sqref="I26 I28">
    <cfRule type="expression" dxfId="915" priority="15" stopIfTrue="1">
      <formula>E7=""</formula>
    </cfRule>
  </conditionalFormatting>
  <conditionalFormatting sqref="I27 I29:I30">
    <cfRule type="expression" dxfId="914" priority="16" stopIfTrue="1">
      <formula>C9=""</formula>
    </cfRule>
  </conditionalFormatting>
  <conditionalFormatting sqref="D12">
    <cfRule type="expression" dxfId="913" priority="17" stopIfTrue="1">
      <formula>OR(D12&gt;#REF!,D11+D12&gt;#REF!)</formula>
    </cfRule>
  </conditionalFormatting>
  <conditionalFormatting sqref="D11">
    <cfRule type="expression" dxfId="912" priority="18" stopIfTrue="1">
      <formula>OR(D11&gt;#REF!,D11+D12&gt;#REF!)</formula>
    </cfRule>
  </conditionalFormatting>
  <conditionalFormatting sqref="U37:U39 V19">
    <cfRule type="expression" dxfId="911" priority="19" stopIfTrue="1">
      <formula>S19=""</formula>
    </cfRule>
  </conditionalFormatting>
  <conditionalFormatting sqref="C25">
    <cfRule type="expression" dxfId="910" priority="20" stopIfTrue="1">
      <formula>AND(C7="",E7+C9+E9&gt;0)</formula>
    </cfRule>
  </conditionalFormatting>
  <conditionalFormatting sqref="B30">
    <cfRule type="expression" dxfId="909" priority="21" stopIfTrue="1">
      <formula>D29&gt;D28</formula>
    </cfRule>
  </conditionalFormatting>
  <conditionalFormatting sqref="D30:E30">
    <cfRule type="expression" dxfId="908" priority="22" stopIfTrue="1">
      <formula>D29&gt;D28</formula>
    </cfRule>
  </conditionalFormatting>
  <conditionalFormatting sqref="F30:H30">
    <cfRule type="expression" dxfId="907" priority="23" stopIfTrue="1">
      <formula>D29&gt;D28</formula>
    </cfRule>
  </conditionalFormatting>
  <conditionalFormatting sqref="B23 B25">
    <cfRule type="cellIs" dxfId="906" priority="24" stopIfTrue="1" operator="notEqual">
      <formula>""</formula>
    </cfRule>
  </conditionalFormatting>
  <conditionalFormatting sqref="B24">
    <cfRule type="cellIs" dxfId="905" priority="25" stopIfTrue="1" operator="notEqual">
      <formula>""</formula>
    </cfRule>
  </conditionalFormatting>
  <conditionalFormatting sqref="R46:R53 R29:R31 R8 R10">
    <cfRule type="cellIs" dxfId="904" priority="26" stopIfTrue="1" operator="notEqual">
      <formula>""</formula>
    </cfRule>
  </conditionalFormatting>
  <conditionalFormatting sqref="S37:S39">
    <cfRule type="expression" dxfId="903" priority="27" stopIfTrue="1">
      <formula>S37=""</formula>
    </cfRule>
  </conditionalFormatting>
  <conditionalFormatting sqref="R18">
    <cfRule type="cellIs" dxfId="902" priority="28" stopIfTrue="1" operator="notEqual">
      <formula>""</formula>
    </cfRule>
  </conditionalFormatting>
  <conditionalFormatting sqref="J5">
    <cfRule type="expression" dxfId="901" priority="29" stopIfTrue="1">
      <formula>expired=TRUE</formula>
    </cfRule>
  </conditionalFormatting>
  <conditionalFormatting sqref="B1:H1">
    <cfRule type="expression" dxfId="900" priority="30" stopIfTrue="1">
      <formula>expired=TRUE</formula>
    </cfRule>
    <cfRule type="expression" dxfId="899" priority="31" stopIfTrue="1">
      <formula>old_ver=TRUE</formula>
    </cfRule>
  </conditionalFormatting>
  <conditionalFormatting sqref="I3">
    <cfRule type="expression" dxfId="898" priority="32" stopIfTrue="1">
      <formula>D3=""</formula>
    </cfRule>
  </conditionalFormatting>
  <conditionalFormatting sqref="J2">
    <cfRule type="expression" dxfId="897" priority="33" stopIfTrue="1">
      <formula>D3=""</formula>
    </cfRule>
  </conditionalFormatting>
  <conditionalFormatting sqref="L2">
    <cfRule type="expression" dxfId="896" priority="34" stopIfTrue="1">
      <formula>D3=""</formula>
    </cfRule>
  </conditionalFormatting>
  <conditionalFormatting sqref="L3">
    <cfRule type="expression" dxfId="895" priority="35" stopIfTrue="1">
      <formula>D3=""</formula>
    </cfRule>
  </conditionalFormatting>
  <conditionalFormatting sqref="J3:K3">
    <cfRule type="expression" dxfId="894" priority="36" stopIfTrue="1">
      <formula>D3=""</formula>
    </cfRule>
  </conditionalFormatting>
  <conditionalFormatting sqref="I2">
    <cfRule type="expression" dxfId="893" priority="37" stopIfTrue="1">
      <formula>AND(D3="",C2="")</formula>
    </cfRule>
  </conditionalFormatting>
  <conditionalFormatting sqref="E21:E22">
    <cfRule type="expression" dxfId="892" priority="38" stopIfTrue="1">
      <formula>OR(AC19="out",AF19="out")</formula>
    </cfRule>
  </conditionalFormatting>
  <conditionalFormatting sqref="M17">
    <cfRule type="expression" dxfId="891" priority="39" stopIfTrue="1">
      <formula>AE19="out"</formula>
    </cfRule>
  </conditionalFormatting>
  <conditionalFormatting sqref="K17">
    <cfRule type="expression" dxfId="890" priority="40" stopIfTrue="1">
      <formula>AE19&lt;&gt;"OK"</formula>
    </cfRule>
  </conditionalFormatting>
  <conditionalFormatting sqref="F21:F22">
    <cfRule type="expression" dxfId="889" priority="41" stopIfTrue="1">
      <formula>OR(AE19="out",AG19="out")</formula>
    </cfRule>
  </conditionalFormatting>
  <conditionalFormatting sqref="C21:C22">
    <cfRule type="expression" dxfId="888" priority="42" stopIfTrue="1">
      <formula>OR(AA19="out",AE19="out")</formula>
    </cfRule>
  </conditionalFormatting>
  <conditionalFormatting sqref="D21:D22">
    <cfRule type="expression" dxfId="887" priority="43" stopIfTrue="1">
      <formula>OR(AB19="out",#REF!="out")</formula>
    </cfRule>
  </conditionalFormatting>
  <conditionalFormatting sqref="F12">
    <cfRule type="expression" dxfId="886" priority="44" stopIfTrue="1">
      <formula>OR(F12&gt;#REF!,F11+F12&gt;#REF!)</formula>
    </cfRule>
  </conditionalFormatting>
  <conditionalFormatting sqref="F11">
    <cfRule type="expression" dxfId="885" priority="45" stopIfTrue="1">
      <formula>OR(F11&gt;#REF!,F11+F12&gt;#REF!)</formula>
    </cfRule>
  </conditionalFormatting>
  <conditionalFormatting sqref="K20">
    <cfRule type="expression" dxfId="884" priority="46" stopIfTrue="1">
      <formula>AE43&lt;&gt;"OK"</formula>
    </cfRule>
  </conditionalFormatting>
  <conditionalFormatting sqref="J16">
    <cfRule type="expression" dxfId="883" priority="47" stopIfTrue="1">
      <formula>R8&lt;&gt;"OK"</formula>
    </cfRule>
  </conditionalFormatting>
  <conditionalFormatting sqref="J19">
    <cfRule type="expression" dxfId="882" priority="48" stopIfTrue="1">
      <formula>R10&lt;&gt;"OK"</formula>
    </cfRule>
  </conditionalFormatting>
  <conditionalFormatting sqref="B21">
    <cfRule type="expression" dxfId="881" priority="49" stopIfTrue="1">
      <formula>R10&lt;&gt;"OK"</formula>
    </cfRule>
    <cfRule type="expression" dxfId="880" priority="50" stopIfTrue="1">
      <formula>R11&lt;&gt;"OK"</formula>
    </cfRule>
  </conditionalFormatting>
  <conditionalFormatting sqref="V27">
    <cfRule type="expression" dxfId="879" priority="12" stopIfTrue="1">
      <formula>T27=""</formula>
    </cfRule>
  </conditionalFormatting>
  <conditionalFormatting sqref="V26">
    <cfRule type="expression" dxfId="878" priority="13" stopIfTrue="1">
      <formula>S26=""</formula>
    </cfRule>
  </conditionalFormatting>
  <conditionalFormatting sqref="D15:E15">
    <cfRule type="expression" dxfId="877" priority="51" stopIfTrue="1">
      <formula>R18="err"</formula>
    </cfRule>
  </conditionalFormatting>
  <conditionalFormatting sqref="F23">
    <cfRule type="expression" dxfId="876" priority="52" stopIfTrue="1">
      <formula>#REF!&lt;&gt;"OK"</formula>
    </cfRule>
  </conditionalFormatting>
  <conditionalFormatting sqref="M16">
    <cfRule type="expression" dxfId="875" priority="53" stopIfTrue="1">
      <formula>J16&gt;U8</formula>
    </cfRule>
  </conditionalFormatting>
  <conditionalFormatting sqref="V18">
    <cfRule type="expression" dxfId="874" priority="54" stopIfTrue="1">
      <formula>S18=""</formula>
    </cfRule>
  </conditionalFormatting>
  <conditionalFormatting sqref="E12">
    <cfRule type="expression" dxfId="873" priority="55" stopIfTrue="1">
      <formula>OR(E12&gt;Y26,E11+E12&gt;Y44)</formula>
    </cfRule>
  </conditionalFormatting>
  <conditionalFormatting sqref="E11">
    <cfRule type="expression" dxfId="872" priority="56" stopIfTrue="1">
      <formula>OR(E11&gt;Y25,E11+E12&gt;Y44)</formula>
    </cfRule>
  </conditionalFormatting>
  <conditionalFormatting sqref="B22">
    <cfRule type="expression" dxfId="871" priority="57" stopIfTrue="1">
      <formula>R11&lt;&gt;"OK"</formula>
    </cfRule>
    <cfRule type="expression" dxfId="870" priority="58" stopIfTrue="1">
      <formula>R29&lt;&gt;"OK"</formula>
    </cfRule>
  </conditionalFormatting>
  <conditionalFormatting sqref="C12">
    <cfRule type="expression" dxfId="869" priority="59" stopIfTrue="1">
      <formula>OR(C12&gt;V30,C11+C12&gt;V31)</formula>
    </cfRule>
  </conditionalFormatting>
  <conditionalFormatting sqref="C11">
    <cfRule type="expression" dxfId="868" priority="60" stopIfTrue="1">
      <formula>OR(C11&gt;V29,C11+C12&gt;V31)</formula>
    </cfRule>
  </conditionalFormatting>
  <conditionalFormatting sqref="C23:E23">
    <cfRule type="expression" dxfId="867" priority="61" stopIfTrue="1">
      <formula>R53&lt;&gt;"OK"</formula>
    </cfRule>
  </conditionalFormatting>
  <conditionalFormatting sqref="C7:D8">
    <cfRule type="expression" dxfId="866" priority="62" stopIfTrue="1">
      <formula>R46&lt;&gt;"OK"</formula>
    </cfRule>
  </conditionalFormatting>
  <conditionalFormatting sqref="D18:E18">
    <cfRule type="expression" dxfId="865" priority="63" stopIfTrue="1">
      <formula>R51&lt;&gt;"OK"</formula>
    </cfRule>
  </conditionalFormatting>
  <conditionalFormatting sqref="B18 B20">
    <cfRule type="expression" dxfId="864" priority="64" stopIfTrue="1">
      <formula>R51&lt;&gt;"OK"</formula>
    </cfRule>
  </conditionalFormatting>
  <conditionalFormatting sqref="D19">
    <cfRule type="expression" dxfId="863" priority="65" stopIfTrue="1">
      <formula>R53&lt;&gt;"ok"</formula>
    </cfRule>
  </conditionalFormatting>
  <conditionalFormatting sqref="S21">
    <cfRule type="expression" dxfId="862" priority="11" stopIfTrue="1">
      <formula>T21=""</formula>
    </cfRule>
  </conditionalFormatting>
  <conditionalFormatting sqref="S22:S23">
    <cfRule type="expression" dxfId="861" priority="10" stopIfTrue="1">
      <formula>S22=""</formula>
    </cfRule>
  </conditionalFormatting>
  <conditionalFormatting sqref="S20">
    <cfRule type="expression" dxfId="860" priority="8">
      <formula>AND(OR(T20="",LEFT(T20,1)="F"),T18&lt;&gt;T19)</formula>
    </cfRule>
    <cfRule type="expression" dxfId="859" priority="9">
      <formula>AND(LEFT(T20,1)&lt;&gt;"F",T18=T19)</formula>
    </cfRule>
  </conditionalFormatting>
  <conditionalFormatting sqref="R20">
    <cfRule type="cellIs" dxfId="858" priority="7" stopIfTrue="1" operator="notEqual">
      <formula>""</formula>
    </cfRule>
  </conditionalFormatting>
  <conditionalFormatting sqref="V20">
    <cfRule type="expression" dxfId="857" priority="6" stopIfTrue="1">
      <formula>T20=""</formula>
    </cfRule>
  </conditionalFormatting>
  <conditionalFormatting sqref="S12:S15">
    <cfRule type="expression" dxfId="856" priority="5" stopIfTrue="1">
      <formula>S12=""</formula>
    </cfRule>
  </conditionalFormatting>
  <conditionalFormatting sqref="V21">
    <cfRule type="expression" dxfId="855" priority="4" stopIfTrue="1">
      <formula>T21=""</formula>
    </cfRule>
  </conditionalFormatting>
  <conditionalFormatting sqref="R11">
    <cfRule type="cellIs" dxfId="854" priority="3" stopIfTrue="1" operator="notEqual">
      <formula>""</formula>
    </cfRule>
  </conditionalFormatting>
  <conditionalFormatting sqref="S19">
    <cfRule type="expression" dxfId="853" priority="2" stopIfTrue="1">
      <formula>#REF!=""</formula>
    </cfRule>
  </conditionalFormatting>
  <conditionalFormatting sqref="C24:F24">
    <cfRule type="cellIs" dxfId="852" priority="1" stopIfTrue="1" operator="notEqual">
      <formula>""</formula>
    </cfRule>
  </conditionalFormatting>
  <dataValidations count="3">
    <dataValidation type="date" allowBlank="1" showInputMessage="1" showErrorMessage="1" errorTitle="Input Error" error="A valid date must be entered into this cell.  Enter as  mm/dd/yy  _x000a__x000a_" sqref="C2:E2" xr:uid="{00000000-0002-0000-0500-000000000000}">
      <formula1>36526</formula1>
      <formula2>44196</formula2>
    </dataValidation>
    <dataValidation type="custom" allowBlank="1" showInputMessage="1" showErrorMessage="1" errorTitle="Input Error" error="Entry must be a NUMERIC VALUE!" sqref="D15:E17 C7:F12" xr:uid="{00000000-0002-0000-0500-000001000000}">
      <formula1>ISNUMBER(C7)</formula1>
    </dataValidation>
    <dataValidation type="list" showInputMessage="1" showErrorMessage="1" errorTitle="STANDARD FUELING LEVEL" error="STANDARD FUELING LEVEL MUST BE ENTERED:_x000a_TABS,_x000a_Measured,_x000a_FULL" sqref="T20" xr:uid="{00000000-0002-0000-0500-000002000000}">
      <formula1>"TABS,Measured,FULL"</formula1>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0000FF"/>
    <pageSetUpPr fitToPage="1"/>
  </sheetPr>
  <dimension ref="B1:AJ56"/>
  <sheetViews>
    <sheetView showGridLines="0" showRowColHeaders="0" zoomScaleNormal="100" workbookViewId="0">
      <selection activeCell="C2" sqref="C2:E2"/>
    </sheetView>
  </sheetViews>
  <sheetFormatPr defaultRowHeight="12.75" x14ac:dyDescent="0.2"/>
  <cols>
    <col min="1" max="1" width="1.28515625" customWidth="1"/>
    <col min="2" max="2" width="14.7109375" customWidth="1"/>
    <col min="3" max="6" width="4" customWidth="1"/>
    <col min="7" max="7" width="2.42578125" customWidth="1"/>
    <col min="8" max="8" width="2.7109375" customWidth="1"/>
    <col min="9" max="9" width="19" customWidth="1"/>
    <col min="10" max="11" width="10.28515625" customWidth="1"/>
    <col min="12" max="12" width="11.85546875" customWidth="1"/>
    <col min="13" max="13" width="37" customWidth="1"/>
    <col min="14" max="14" width="4.7109375" hidden="1" customWidth="1"/>
    <col min="15" max="15" width="4.28515625" hidden="1" customWidth="1"/>
    <col min="16" max="16" width="11.7109375" style="41" hidden="1" customWidth="1"/>
    <col min="17" max="17" width="9.7109375" style="41" hidden="1" customWidth="1"/>
    <col min="18" max="18" width="8.42578125" style="41" hidden="1" customWidth="1"/>
    <col min="19" max="19" width="19" style="41" hidden="1" customWidth="1"/>
    <col min="20" max="21" width="7.7109375" style="41" hidden="1" customWidth="1"/>
    <col min="22" max="22" width="8.7109375" style="41" hidden="1" customWidth="1"/>
    <col min="23" max="23" width="29.42578125" style="41" hidden="1" customWidth="1"/>
    <col min="24" max="24" width="4.7109375" style="41" hidden="1" customWidth="1"/>
    <col min="25" max="25" width="3.5703125" style="41" hidden="1" customWidth="1"/>
    <col min="26" max="33" width="9.140625" style="41" hidden="1" customWidth="1"/>
    <col min="34" max="34" width="9.5703125" style="41" hidden="1" customWidth="1"/>
    <col min="35" max="36" width="9" hidden="1" customWidth="1"/>
    <col min="37" max="37" width="8.140625" customWidth="1"/>
  </cols>
  <sheetData>
    <row r="1" spans="2:36" ht="22.9" customHeight="1" thickBot="1" x14ac:dyDescent="0.25">
      <c r="B1" s="807" t="str">
        <f ca="1">status_msg</f>
        <v/>
      </c>
      <c r="C1" s="807"/>
      <c r="D1" s="807"/>
      <c r="E1" s="807"/>
      <c r="F1" s="807"/>
      <c r="G1" s="807"/>
      <c r="H1" s="807"/>
      <c r="I1" s="514" t="str">
        <f>Q1</f>
        <v>CAP 9437</v>
      </c>
      <c r="J1" s="514" t="str">
        <f>R1</f>
        <v>N237CP</v>
      </c>
      <c r="K1" s="515"/>
      <c r="L1" s="516" t="str">
        <f>S1</f>
        <v>(230hp C182T) Long Range Tanks</v>
      </c>
      <c r="M1" s="517"/>
      <c r="P1" s="354" t="s">
        <v>178</v>
      </c>
      <c r="Q1" s="355" t="s">
        <v>260</v>
      </c>
      <c r="R1" s="355" t="s">
        <v>261</v>
      </c>
      <c r="S1" s="356" t="s">
        <v>181</v>
      </c>
      <c r="T1" s="356"/>
      <c r="U1" s="357"/>
      <c r="V1" s="357"/>
      <c r="W1" s="357"/>
      <c r="X1" s="357"/>
      <c r="Y1" s="357"/>
      <c r="Z1" s="357"/>
      <c r="AA1" s="357"/>
      <c r="AB1" s="357"/>
      <c r="AC1" s="357"/>
      <c r="AD1" s="357"/>
      <c r="AE1" s="357"/>
      <c r="AF1" s="357"/>
      <c r="AG1" s="357"/>
      <c r="AH1" s="357"/>
      <c r="AI1" s="237"/>
      <c r="AJ1" s="237"/>
    </row>
    <row r="2" spans="2:36" ht="15" customHeight="1" thickTop="1" thickBot="1" x14ac:dyDescent="0.25">
      <c r="B2" s="137" t="s">
        <v>131</v>
      </c>
      <c r="C2" s="808"/>
      <c r="D2" s="808"/>
      <c r="E2" s="809"/>
      <c r="F2" s="142" t="str">
        <f>IF(D3="","mm/dd/yy","(if not today)")</f>
        <v>mm/dd/yy</v>
      </c>
      <c r="H2" s="523"/>
      <c r="I2" s="138" t="s">
        <v>131</v>
      </c>
      <c r="J2" s="810" t="str">
        <f>IF(C3="","","Mission Symbol")&amp;"   Mission No:"</f>
        <v xml:space="preserve">   Mission No:</v>
      </c>
      <c r="K2" s="810"/>
      <c r="L2" s="670" t="s">
        <v>130</v>
      </c>
      <c r="P2" s="358"/>
      <c r="Q2" s="359" t="s">
        <v>173</v>
      </c>
      <c r="R2" s="359" t="s">
        <v>145</v>
      </c>
      <c r="S2" s="360" t="s">
        <v>172</v>
      </c>
      <c r="T2" s="361"/>
      <c r="U2" s="357"/>
      <c r="V2" s="357"/>
      <c r="W2" s="357"/>
      <c r="X2" s="357"/>
      <c r="Y2" s="357"/>
      <c r="Z2" s="357"/>
      <c r="AA2" s="357"/>
      <c r="AB2" s="357"/>
      <c r="AC2" s="357"/>
      <c r="AD2" s="357"/>
      <c r="AE2" s="357"/>
      <c r="AF2" s="357"/>
      <c r="AG2" s="357"/>
      <c r="AH2" s="357"/>
      <c r="AI2" s="237"/>
      <c r="AJ2" s="237"/>
    </row>
    <row r="3" spans="2:36" ht="15" customHeight="1" thickTop="1" thickBot="1" x14ac:dyDescent="0.25">
      <c r="B3" s="140" t="s">
        <v>137</v>
      </c>
      <c r="C3" s="669"/>
      <c r="D3" s="811"/>
      <c r="E3" s="811"/>
      <c r="F3" s="812"/>
      <c r="I3" s="131" t="str">
        <f ca="1">IF(AND(D3="",C2=""),"",IF(C2="",TODAY(),C2))</f>
        <v/>
      </c>
      <c r="J3" s="813" t="str">
        <f>IF(C3="","",IF(D3="","",C3))&amp;"      "&amp;IF(D3="","",D3)</f>
        <v xml:space="preserve">      </v>
      </c>
      <c r="K3" s="814"/>
      <c r="L3" s="132" t="str">
        <f>IF(C4="","",C4)</f>
        <v/>
      </c>
      <c r="P3" s="362"/>
      <c r="Q3" s="363"/>
      <c r="R3" s="363"/>
      <c r="S3" s="357"/>
      <c r="T3" s="357"/>
      <c r="U3" s="357"/>
      <c r="V3" s="357"/>
      <c r="W3" s="357"/>
      <c r="X3" s="357"/>
      <c r="Y3" s="357"/>
      <c r="Z3" s="364"/>
      <c r="AA3" s="357"/>
      <c r="AB3" s="365"/>
      <c r="AC3" s="357"/>
      <c r="AD3" s="357"/>
      <c r="AE3" s="357"/>
      <c r="AF3" s="357"/>
      <c r="AG3" s="357"/>
      <c r="AH3" s="357"/>
      <c r="AI3" s="237"/>
      <c r="AJ3" s="237"/>
    </row>
    <row r="4" spans="2:36" ht="12" customHeight="1" thickTop="1" x14ac:dyDescent="0.2">
      <c r="B4" s="140" t="s">
        <v>130</v>
      </c>
      <c r="C4" s="822"/>
      <c r="D4" s="823"/>
      <c r="E4" s="140"/>
      <c r="I4" s="687" t="s">
        <v>301</v>
      </c>
      <c r="J4" s="689"/>
      <c r="K4" s="688"/>
      <c r="L4" s="688"/>
      <c r="M4" s="688"/>
      <c r="P4" s="553" t="s">
        <v>222</v>
      </c>
      <c r="Q4" s="366"/>
      <c r="R4" s="366"/>
      <c r="S4" s="357"/>
      <c r="T4" s="367" t="s">
        <v>98</v>
      </c>
      <c r="U4" s="368"/>
      <c r="V4" s="369" t="s">
        <v>99</v>
      </c>
      <c r="W4" s="357"/>
      <c r="X4" s="357"/>
      <c r="Y4" s="357"/>
      <c r="Z4" s="357"/>
      <c r="AA4" s="357"/>
      <c r="AB4" s="357"/>
      <c r="AC4" s="357"/>
      <c r="AD4" s="357"/>
      <c r="AE4" s="357"/>
      <c r="AF4" s="357"/>
      <c r="AG4" s="357"/>
      <c r="AH4" s="357"/>
      <c r="AI4" s="237"/>
      <c r="AJ4" s="237"/>
    </row>
    <row r="5" spans="2:36" ht="12" customHeight="1" x14ac:dyDescent="0.2">
      <c r="I5" s="35"/>
      <c r="J5" s="36"/>
      <c r="K5" s="36"/>
      <c r="L5" s="36"/>
      <c r="M5" s="134" t="str">
        <f>"Release ID:   "&amp;release_nbr&amp;"    "&amp;TEXT(release_date,"dd mmm yyyy  ")</f>
        <v xml:space="preserve">Release ID:   R1    21 Mar 2020  </v>
      </c>
      <c r="P5" s="362"/>
      <c r="Q5" s="357"/>
      <c r="R5" s="357"/>
      <c r="S5" s="357"/>
      <c r="T5" s="357"/>
      <c r="U5" s="357"/>
      <c r="V5" s="357"/>
      <c r="W5" s="357"/>
      <c r="X5" s="357"/>
      <c r="Y5" s="357"/>
      <c r="Z5" s="357"/>
      <c r="AA5" s="357"/>
      <c r="AB5" s="357"/>
      <c r="AC5" s="357"/>
      <c r="AD5" s="357"/>
      <c r="AE5" s="357"/>
      <c r="AF5" s="357"/>
      <c r="AG5" s="357"/>
      <c r="AH5" s="357"/>
      <c r="AI5" s="237"/>
      <c r="AJ5" s="237"/>
    </row>
    <row r="6" spans="2:36" ht="12.75" customHeight="1" thickBot="1" x14ac:dyDescent="0.35">
      <c r="B6" s="3" t="s">
        <v>31</v>
      </c>
      <c r="I6" s="37" t="s">
        <v>0</v>
      </c>
      <c r="J6" s="38" t="s">
        <v>1</v>
      </c>
      <c r="K6" s="38" t="s">
        <v>2</v>
      </c>
      <c r="L6" s="39" t="s">
        <v>97</v>
      </c>
      <c r="M6" s="133" t="s">
        <v>3</v>
      </c>
      <c r="P6" s="362"/>
      <c r="Q6" s="370" t="s">
        <v>120</v>
      </c>
      <c r="R6" s="371"/>
      <c r="S6" s="371"/>
      <c r="T6" s="371"/>
      <c r="U6" s="372" t="s">
        <v>1</v>
      </c>
      <c r="V6" s="372" t="s">
        <v>2</v>
      </c>
      <c r="W6" s="373" t="s">
        <v>179</v>
      </c>
      <c r="X6" s="357"/>
      <c r="Y6" s="357"/>
      <c r="Z6" s="357"/>
      <c r="AA6" s="357"/>
      <c r="AB6" s="374" t="s">
        <v>163</v>
      </c>
      <c r="AC6" s="371"/>
      <c r="AD6" s="371"/>
      <c r="AE6" s="371"/>
      <c r="AF6" s="371"/>
      <c r="AG6" s="371"/>
      <c r="AH6" s="357"/>
      <c r="AI6" s="237"/>
      <c r="AJ6" s="237"/>
    </row>
    <row r="7" spans="2:36" ht="15" customHeight="1" thickTop="1" thickBot="1" x14ac:dyDescent="0.25">
      <c r="B7" s="803" t="s">
        <v>32</v>
      </c>
      <c r="C7" s="802"/>
      <c r="D7" s="804"/>
      <c r="E7" s="802"/>
      <c r="F7" s="800"/>
      <c r="H7" s="1"/>
      <c r="I7" s="13" t="s">
        <v>4</v>
      </c>
      <c r="J7" s="188">
        <f>U7</f>
        <v>2027.31</v>
      </c>
      <c r="K7" s="67">
        <f>V7</f>
        <v>38.840000000000003</v>
      </c>
      <c r="L7" s="68">
        <f>ROUND(J7*K7/1000,5)</f>
        <v>78.740719999999996</v>
      </c>
      <c r="M7" s="586" t="str">
        <f>IF(W7="","",W7)</f>
        <v>W/B: 18-FEB-2019 Caribbean Avionics</v>
      </c>
      <c r="P7" s="362"/>
      <c r="Q7" s="375" t="str">
        <f>"Ln"&amp;ROW()</f>
        <v>Ln7</v>
      </c>
      <c r="R7" s="376"/>
      <c r="S7" s="377" t="s">
        <v>4</v>
      </c>
      <c r="T7" s="378"/>
      <c r="U7" s="545">
        <v>2027.31</v>
      </c>
      <c r="V7" s="380">
        <v>38.840000000000003</v>
      </c>
      <c r="W7" s="381" t="s">
        <v>294</v>
      </c>
      <c r="X7" s="357"/>
      <c r="Y7" s="357"/>
      <c r="Z7" s="357"/>
      <c r="AA7" s="357"/>
      <c r="AB7" s="357"/>
      <c r="AC7" s="382"/>
      <c r="AD7" s="383" t="s">
        <v>162</v>
      </c>
      <c r="AE7" s="357"/>
      <c r="AF7" s="357"/>
      <c r="AG7" s="357"/>
      <c r="AH7" s="357"/>
      <c r="AI7" s="237"/>
      <c r="AJ7" s="237"/>
    </row>
    <row r="8" spans="2:36" ht="15" customHeight="1" thickTop="1" thickBot="1" x14ac:dyDescent="0.25">
      <c r="B8" s="803"/>
      <c r="C8" s="802"/>
      <c r="D8" s="804"/>
      <c r="E8" s="802"/>
      <c r="F8" s="800"/>
      <c r="H8" s="1"/>
      <c r="I8" s="125" t="s">
        <v>10</v>
      </c>
      <c r="J8" s="189">
        <f>D15*6</f>
        <v>384</v>
      </c>
      <c r="K8" s="69">
        <f>U18</f>
        <v>46.5</v>
      </c>
      <c r="L8" s="72">
        <f t="shared" ref="L8:L13" si="0">ROUND((J8*K8)/1000,5)</f>
        <v>17.856000000000002</v>
      </c>
      <c r="M8" s="11" t="str">
        <f>V18&amp;" lbs Max ("&amp;T18&amp;" gals)  "&amp;IF(OR(T18=T19,T19="",T19=0),"",V19&amp;" lbs Tabs ("&amp;T19&amp;" gals)")</f>
        <v>522 lbs Max (87 gals)  384 lbs Tabs (64 gals)</v>
      </c>
      <c r="P8" s="362"/>
      <c r="Q8" s="375" t="str">
        <f t="shared" ref="Q8:Q34" si="1">"Ln"&amp;ROW()</f>
        <v>Ln8</v>
      </c>
      <c r="R8" s="384" t="str">
        <f ca="1">IF(J16&gt;U8,"ERR","OK")</f>
        <v>OK</v>
      </c>
      <c r="S8" s="377" t="s">
        <v>168</v>
      </c>
      <c r="T8" s="378"/>
      <c r="U8" s="385">
        <v>3100</v>
      </c>
      <c r="V8" s="357"/>
      <c r="W8" s="357"/>
      <c r="X8" s="357"/>
      <c r="Y8" s="386"/>
      <c r="Z8" s="387"/>
      <c r="AA8" s="388">
        <v>3100</v>
      </c>
      <c r="AC8" s="624">
        <f>AA8</f>
        <v>3100</v>
      </c>
      <c r="AD8" s="357"/>
      <c r="AF8" s="389">
        <v>40.9</v>
      </c>
      <c r="AH8" s="390">
        <v>46</v>
      </c>
      <c r="AI8" s="237"/>
      <c r="AJ8" s="237"/>
    </row>
    <row r="9" spans="2:36" ht="15" customHeight="1" thickTop="1" thickBot="1" x14ac:dyDescent="0.25">
      <c r="B9" s="803" t="s">
        <v>33</v>
      </c>
      <c r="C9" s="802"/>
      <c r="D9" s="804"/>
      <c r="E9" s="802"/>
      <c r="F9" s="800"/>
      <c r="H9" s="1"/>
      <c r="I9" s="125" t="s">
        <v>11</v>
      </c>
      <c r="J9" s="189">
        <f>C7+E7</f>
        <v>0</v>
      </c>
      <c r="K9" s="69">
        <f>U26</f>
        <v>37</v>
      </c>
      <c r="L9" s="72">
        <f t="shared" si="0"/>
        <v>0</v>
      </c>
      <c r="M9" s="11" t="str">
        <f>IF(W26="","",W26)</f>
        <v/>
      </c>
      <c r="P9" s="362"/>
      <c r="Q9" s="375" t="str">
        <f t="shared" si="1"/>
        <v>Ln9</v>
      </c>
      <c r="R9" s="391"/>
      <c r="S9" s="377" t="s">
        <v>169</v>
      </c>
      <c r="T9" s="378"/>
      <c r="U9" s="385">
        <v>3110</v>
      </c>
      <c r="V9" s="392"/>
      <c r="W9" s="393" t="s">
        <v>176</v>
      </c>
      <c r="X9" s="357"/>
      <c r="Y9" s="394"/>
      <c r="Z9" s="395"/>
      <c r="AD9" s="357"/>
      <c r="AI9" s="237"/>
      <c r="AJ9" s="237"/>
    </row>
    <row r="10" spans="2:36" ht="15" customHeight="1" thickTop="1" thickBot="1" x14ac:dyDescent="0.3">
      <c r="B10" s="803"/>
      <c r="C10" s="802"/>
      <c r="D10" s="804"/>
      <c r="E10" s="802"/>
      <c r="F10" s="800"/>
      <c r="H10" s="1"/>
      <c r="I10" s="125" t="s">
        <v>12</v>
      </c>
      <c r="J10" s="189">
        <f>C9+E9</f>
        <v>0</v>
      </c>
      <c r="K10" s="69">
        <f>U27</f>
        <v>74</v>
      </c>
      <c r="L10" s="72">
        <f t="shared" si="0"/>
        <v>0</v>
      </c>
      <c r="M10" s="11" t="str">
        <f>IF(W27="","",W27)</f>
        <v/>
      </c>
      <c r="P10" s="362"/>
      <c r="Q10" s="375" t="str">
        <f t="shared" si="1"/>
        <v>Ln10</v>
      </c>
      <c r="R10" s="384" t="str">
        <f>IF(U8=U10,"OK",IF(J20&gt;U10,"WARN","OK"))</f>
        <v>OK</v>
      </c>
      <c r="S10" s="377" t="s">
        <v>170</v>
      </c>
      <c r="T10" s="378"/>
      <c r="U10" s="385">
        <v>2950</v>
      </c>
      <c r="V10" s="392"/>
      <c r="W10" s="393" t="s">
        <v>176</v>
      </c>
      <c r="X10" s="357"/>
      <c r="Y10" s="396" t="s">
        <v>155</v>
      </c>
      <c r="Z10" s="388">
        <v>2700</v>
      </c>
      <c r="AD10" s="357"/>
      <c r="AE10" s="389">
        <v>35.5</v>
      </c>
      <c r="AI10" s="237"/>
      <c r="AJ10" s="237"/>
    </row>
    <row r="11" spans="2:36" ht="15" customHeight="1" thickTop="1" thickBot="1" x14ac:dyDescent="0.3">
      <c r="B11" s="6" t="s">
        <v>25</v>
      </c>
      <c r="C11" s="800"/>
      <c r="D11" s="801"/>
      <c r="E11" s="801"/>
      <c r="F11" s="802"/>
      <c r="H11" s="1"/>
      <c r="I11" s="19" t="s">
        <v>13</v>
      </c>
      <c r="J11" s="189">
        <f>C11</f>
        <v>0</v>
      </c>
      <c r="K11" s="69">
        <f>U29</f>
        <v>97</v>
      </c>
      <c r="L11" s="72">
        <f t="shared" si="0"/>
        <v>0</v>
      </c>
      <c r="M11" s="11" t="str">
        <f>V29&amp;" lbs max ("&amp;V32&amp;" max baggage 1+2+3)"</f>
        <v>120 lbs max (200 max baggage 1+2+3)</v>
      </c>
      <c r="P11" s="362"/>
      <c r="Q11" s="375" t="str">
        <f t="shared" si="1"/>
        <v>Ln11</v>
      </c>
      <c r="R11" s="384" t="str">
        <f ca="1">IF(U8=U10,"OK",IF(J19&gt;U11,"WARN","OK"))</f>
        <v>OK</v>
      </c>
      <c r="S11" s="397" t="s">
        <v>171</v>
      </c>
      <c r="T11" s="398"/>
      <c r="U11" s="399">
        <f>U10</f>
        <v>2950</v>
      </c>
      <c r="V11" s="357"/>
      <c r="W11" s="357"/>
      <c r="X11" s="357"/>
      <c r="Y11" s="396" t="s">
        <v>50</v>
      </c>
      <c r="Z11" s="395"/>
      <c r="AA11" s="766" t="s">
        <v>1</v>
      </c>
      <c r="AB11" s="766"/>
      <c r="AD11" s="357"/>
      <c r="AF11" s="766" t="s">
        <v>154</v>
      </c>
      <c r="AG11" s="766"/>
      <c r="AI11" s="237"/>
      <c r="AJ11" s="237"/>
    </row>
    <row r="12" spans="2:36" ht="15" customHeight="1" thickTop="1" thickBot="1" x14ac:dyDescent="0.3">
      <c r="B12" s="6" t="s">
        <v>26</v>
      </c>
      <c r="C12" s="800"/>
      <c r="D12" s="801"/>
      <c r="E12" s="801"/>
      <c r="F12" s="802"/>
      <c r="H12" s="1"/>
      <c r="I12" s="19" t="s">
        <v>14</v>
      </c>
      <c r="J12" s="189">
        <f>C12</f>
        <v>0</v>
      </c>
      <c r="K12" s="69">
        <f>U30</f>
        <v>116</v>
      </c>
      <c r="L12" s="72">
        <f t="shared" si="0"/>
        <v>0</v>
      </c>
      <c r="M12" s="11" t="str">
        <f>V30&amp;" lbs max  ("&amp;V34&amp;" max baggage 2+3)"</f>
        <v>80 lbs max  (80 max baggage 2+3)</v>
      </c>
      <c r="P12" s="362"/>
      <c r="Q12" s="375" t="str">
        <f t="shared" si="1"/>
        <v>Ln12</v>
      </c>
      <c r="R12" s="391"/>
      <c r="S12" s="400" t="s">
        <v>7</v>
      </c>
      <c r="T12" s="391"/>
      <c r="U12" s="391"/>
      <c r="V12" s="392"/>
      <c r="W12" s="393" t="s">
        <v>176</v>
      </c>
      <c r="X12" s="357"/>
      <c r="Y12" s="396" t="s">
        <v>56</v>
      </c>
      <c r="Z12" s="388">
        <v>2250</v>
      </c>
      <c r="AA12" s="766" t="s">
        <v>153</v>
      </c>
      <c r="AB12" s="766"/>
      <c r="AD12" s="357"/>
      <c r="AE12" s="623">
        <f>AE16</f>
        <v>33</v>
      </c>
      <c r="AF12" s="766" t="s">
        <v>153</v>
      </c>
      <c r="AG12" s="766"/>
      <c r="AI12" s="237"/>
      <c r="AJ12" s="237"/>
    </row>
    <row r="13" spans="2:36" ht="15" customHeight="1" thickTop="1" x14ac:dyDescent="0.25">
      <c r="B13" s="508" t="s">
        <v>70</v>
      </c>
      <c r="D13" s="821"/>
      <c r="E13" s="821"/>
      <c r="H13" s="1"/>
      <c r="I13" s="19" t="s">
        <v>17</v>
      </c>
      <c r="J13" s="189">
        <f>D13</f>
        <v>0</v>
      </c>
      <c r="K13" s="69">
        <f>U31</f>
        <v>129</v>
      </c>
      <c r="L13" s="72">
        <f t="shared" si="0"/>
        <v>0</v>
      </c>
      <c r="M13" s="513" t="str">
        <f>V31&amp;" Lbs Max (on shelf)"</f>
        <v>80 Lbs Max (on shelf)</v>
      </c>
      <c r="P13" s="362"/>
      <c r="Q13" s="375" t="str">
        <f t="shared" si="1"/>
        <v>Ln13</v>
      </c>
      <c r="R13" s="391"/>
      <c r="S13" s="400" t="s">
        <v>194</v>
      </c>
      <c r="T13" s="391"/>
      <c r="U13" s="391"/>
      <c r="V13" s="392"/>
      <c r="W13" s="393" t="s">
        <v>176</v>
      </c>
      <c r="X13" s="357"/>
      <c r="Y13" s="396" t="s">
        <v>57</v>
      </c>
      <c r="Z13" s="395"/>
      <c r="AC13" s="767" t="s">
        <v>157</v>
      </c>
      <c r="AD13" s="357"/>
      <c r="AH13" s="767" t="s">
        <v>167</v>
      </c>
      <c r="AI13" s="237"/>
      <c r="AJ13" s="237"/>
    </row>
    <row r="14" spans="2:36" ht="15" customHeight="1" thickBot="1" x14ac:dyDescent="0.35">
      <c r="B14" s="3"/>
      <c r="C14" s="235"/>
      <c r="D14" s="2"/>
      <c r="E14" s="2"/>
      <c r="F14" s="40" t="str">
        <f>IF(R20="err","","(Std Fueling "&amp;T19&amp;" gal ("&amp;T20&amp;"))")</f>
        <v>(Std Fueling 64 gal (TABS))</v>
      </c>
      <c r="H14" s="1"/>
      <c r="I14" s="15" t="s">
        <v>6</v>
      </c>
      <c r="J14" s="71">
        <f>SUM(J7:J13)</f>
        <v>2411.31</v>
      </c>
      <c r="K14" s="26"/>
      <c r="L14" s="70">
        <f>SUM(L7:L13)</f>
        <v>96.596720000000005</v>
      </c>
      <c r="M14" s="11" t="str">
        <f>"Max Ramp Weight: "&amp;TEXT(U9,"#,###")&amp;IF(U8&lt;&gt;U10," - Landing "&amp;TEXT(U10,"#,###"),"")</f>
        <v>Max Ramp Weight: 3,110 - Landing 2,950</v>
      </c>
      <c r="P14" s="362"/>
      <c r="Q14" s="375" t="str">
        <f t="shared" si="1"/>
        <v>Ln14</v>
      </c>
      <c r="R14" s="391"/>
      <c r="S14" s="400" t="s">
        <v>24</v>
      </c>
      <c r="T14" s="391"/>
      <c r="U14" s="391"/>
      <c r="V14" s="392"/>
      <c r="W14" s="393" t="s">
        <v>177</v>
      </c>
      <c r="X14" s="357"/>
      <c r="Y14" s="396" t="s">
        <v>156</v>
      </c>
      <c r="Z14" s="395"/>
      <c r="AC14" s="767"/>
      <c r="AD14" s="357"/>
      <c r="AH14" s="767"/>
      <c r="AI14" s="237"/>
      <c r="AJ14" s="237"/>
    </row>
    <row r="15" spans="2:36" ht="15" customHeight="1" thickTop="1" thickBot="1" x14ac:dyDescent="0.3">
      <c r="B15" s="32" t="s">
        <v>88</v>
      </c>
      <c r="C15" s="4"/>
      <c r="D15" s="793">
        <v>64</v>
      </c>
      <c r="E15" s="793"/>
      <c r="F15" s="5" t="s">
        <v>36</v>
      </c>
      <c r="H15" s="1"/>
      <c r="I15" s="16" t="s">
        <v>15</v>
      </c>
      <c r="J15" s="585">
        <f>V21</f>
        <v>-10</v>
      </c>
      <c r="K15" s="69">
        <f>U18</f>
        <v>46.5</v>
      </c>
      <c r="L15" s="72">
        <f>ROUND((J15*K15)/1000,5)</f>
        <v>-0.46500000000000002</v>
      </c>
      <c r="M15" s="11" t="s">
        <v>16</v>
      </c>
      <c r="P15" s="362"/>
      <c r="Q15" s="375" t="str">
        <f t="shared" si="1"/>
        <v>Ln15</v>
      </c>
      <c r="R15" s="391"/>
      <c r="S15" s="400" t="s">
        <v>193</v>
      </c>
      <c r="T15" s="391"/>
      <c r="U15" s="391"/>
      <c r="V15" s="392"/>
      <c r="W15" s="393" t="s">
        <v>177</v>
      </c>
      <c r="X15" s="357"/>
      <c r="Y15" s="396" t="s">
        <v>47</v>
      </c>
      <c r="Z15" s="388">
        <v>1800</v>
      </c>
      <c r="AC15" s="792"/>
      <c r="AD15" s="357"/>
      <c r="AH15" s="792"/>
      <c r="AI15" s="237"/>
      <c r="AJ15" s="237"/>
    </row>
    <row r="16" spans="2:36" ht="15" customHeight="1" thickTop="1" thickBot="1" x14ac:dyDescent="0.25">
      <c r="B16" s="32" t="s">
        <v>35</v>
      </c>
      <c r="C16" s="2"/>
      <c r="D16" s="794"/>
      <c r="E16" s="795"/>
      <c r="F16" s="5" t="s">
        <v>108</v>
      </c>
      <c r="H16" s="1"/>
      <c r="I16" s="17" t="s">
        <v>7</v>
      </c>
      <c r="J16" s="126">
        <f ca="1">IF(expired=TRUE,9999,SUM(J14:J15))</f>
        <v>2401.31</v>
      </c>
      <c r="K16" s="73" t="s">
        <v>5</v>
      </c>
      <c r="L16" s="74">
        <f>SUM(L14:L15)</f>
        <v>96.131720000000001</v>
      </c>
      <c r="M16" s="110" t="str">
        <f>"Max Gross: "&amp;TEXT(U8,"#,##0")&amp;"   Useful Load: "&amp;TEXT(U37,"#,##0")</f>
        <v>Max Gross: 3,100   Useful Load: 1,072</v>
      </c>
      <c r="P16" s="362"/>
      <c r="Q16" s="401"/>
      <c r="R16" s="401"/>
      <c r="S16" s="401"/>
      <c r="T16" s="401"/>
      <c r="U16" s="401"/>
      <c r="V16" s="401"/>
      <c r="W16" s="401"/>
      <c r="X16" s="357"/>
      <c r="Y16" s="402"/>
      <c r="Z16" s="395"/>
      <c r="AC16" s="403">
        <f>AC8</f>
        <v>3100</v>
      </c>
      <c r="AD16" s="357"/>
      <c r="AE16" s="404">
        <v>33</v>
      </c>
      <c r="AF16" s="82"/>
      <c r="AG16" s="82"/>
      <c r="AH16" s="405">
        <f>AH8</f>
        <v>46</v>
      </c>
      <c r="AI16" s="237"/>
      <c r="AJ16" s="237"/>
    </row>
    <row r="17" spans="2:36" ht="15" customHeight="1" thickTop="1" thickBot="1" x14ac:dyDescent="0.3">
      <c r="B17" s="58" t="s">
        <v>107</v>
      </c>
      <c r="C17" s="2"/>
      <c r="D17" s="796"/>
      <c r="E17" s="796"/>
      <c r="F17" s="5" t="s">
        <v>109</v>
      </c>
      <c r="H17" s="1"/>
      <c r="I17" s="18" t="s">
        <v>8</v>
      </c>
      <c r="J17" s="127" t="s">
        <v>5</v>
      </c>
      <c r="K17" s="128">
        <f ca="1">IF(expired=TRUE,9999,(L16*1000)/J16)</f>
        <v>40.033031970049684</v>
      </c>
      <c r="L17" s="75" t="s">
        <v>5</v>
      </c>
      <c r="M17" s="12" t="s">
        <v>9</v>
      </c>
      <c r="P17" s="362"/>
      <c r="Q17" s="370" t="s">
        <v>158</v>
      </c>
      <c r="R17" s="371"/>
      <c r="S17" s="371"/>
      <c r="T17" s="406" t="s">
        <v>174</v>
      </c>
      <c r="U17" s="372" t="s">
        <v>2</v>
      </c>
      <c r="V17" s="372" t="s">
        <v>1</v>
      </c>
      <c r="W17" s="373" t="s">
        <v>179</v>
      </c>
      <c r="X17" s="357"/>
      <c r="Y17" s="407"/>
      <c r="Z17" s="408"/>
      <c r="AD17" s="357"/>
      <c r="AE17" s="409"/>
      <c r="AF17" s="797" t="s">
        <v>161</v>
      </c>
      <c r="AG17" s="797"/>
      <c r="AH17" s="410"/>
      <c r="AI17" s="237"/>
      <c r="AJ17" s="237"/>
    </row>
    <row r="18" spans="2:36" ht="15" customHeight="1" thickTop="1" thickBot="1" x14ac:dyDescent="0.25">
      <c r="B18" s="32" t="s">
        <v>139</v>
      </c>
      <c r="D18" s="798">
        <f>D16*D17</f>
        <v>0</v>
      </c>
      <c r="E18" s="799"/>
      <c r="F18" s="5" t="s">
        <v>36</v>
      </c>
      <c r="H18" s="1"/>
      <c r="I18" s="23" t="s">
        <v>23</v>
      </c>
      <c r="J18" s="25">
        <f>D18*6*-1</f>
        <v>0</v>
      </c>
      <c r="K18" s="25">
        <f>K8</f>
        <v>46.5</v>
      </c>
      <c r="L18" s="92">
        <f>ROUND((J18*K18)/1000,5)</f>
        <v>0</v>
      </c>
      <c r="M18" s="29" t="s">
        <v>73</v>
      </c>
      <c r="P18" s="362"/>
      <c r="Q18" s="375" t="str">
        <f t="shared" si="1"/>
        <v>Ln18</v>
      </c>
      <c r="R18" s="384" t="str">
        <f>IF(D15&gt;T18,"ERR","OK")</f>
        <v>OK</v>
      </c>
      <c r="S18" s="548" t="s">
        <v>239</v>
      </c>
      <c r="T18" s="411">
        <v>87</v>
      </c>
      <c r="U18" s="380">
        <v>46.5</v>
      </c>
      <c r="V18" s="412">
        <f>T18*6</f>
        <v>522</v>
      </c>
      <c r="W18" s="393" t="s">
        <v>176</v>
      </c>
      <c r="X18" s="357"/>
      <c r="Y18" s="357"/>
      <c r="Z18" s="357"/>
      <c r="AA18" s="357"/>
      <c r="AB18" s="357"/>
      <c r="AC18" s="357"/>
      <c r="AD18" s="357"/>
      <c r="AE18" s="357"/>
      <c r="AF18" s="357"/>
      <c r="AG18" s="357"/>
      <c r="AH18" s="357"/>
      <c r="AI18" s="237"/>
      <c r="AJ18" s="237"/>
    </row>
    <row r="19" spans="2:36" ht="15" customHeight="1" thickTop="1" thickBot="1" x14ac:dyDescent="0.25">
      <c r="B19" s="33" t="str">
        <f>IF(R53="OK","Reserve/End of FLT","&lt;1Hr Res/End of FLT")</f>
        <v>Reserve/End of FLT</v>
      </c>
      <c r="D19" s="59" t="str">
        <f>IF(R51&lt;&gt;"OK","Fuel used &gt; loaded",IF(AND(R52="OK",R51="OK"),""&amp;TEXT(D15-D18,"##.0")&amp;" Gal  ~"&amp;TEXT(T43,"##.0")&amp;" HRS",""))</f>
        <v/>
      </c>
      <c r="E19" s="2"/>
      <c r="H19" s="1"/>
      <c r="I19" s="27" t="s">
        <v>24</v>
      </c>
      <c r="J19" s="587">
        <f ca="1">SUM(J16:J18)</f>
        <v>2401.31</v>
      </c>
      <c r="K19" s="93"/>
      <c r="L19" s="24">
        <f>SUM(L16:L18)</f>
        <v>96.131720000000001</v>
      </c>
      <c r="M19" s="29" t="str">
        <f>IF(U8=U10,"Landing Weight Limit same as Takeoff Weight","Max Landing Weight  "&amp;TEXT(U10,"#,##0"))</f>
        <v>Max Landing Weight  2,950</v>
      </c>
      <c r="P19" s="362"/>
      <c r="Q19" s="375" t="str">
        <f t="shared" si="1"/>
        <v>Ln19</v>
      </c>
      <c r="R19" s="391"/>
      <c r="S19" s="549" t="s">
        <v>240</v>
      </c>
      <c r="T19" s="411">
        <v>64</v>
      </c>
      <c r="U19" s="413"/>
      <c r="V19" s="412">
        <f>T19*6</f>
        <v>384</v>
      </c>
      <c r="W19" s="357"/>
      <c r="X19" s="357"/>
      <c r="Y19" s="357"/>
      <c r="Z19" s="357"/>
      <c r="AA19" s="414" t="str">
        <f ca="1">IF(AA20&gt;U8,"OUT","OK")</f>
        <v>OK</v>
      </c>
      <c r="AB19" s="415" t="s">
        <v>164</v>
      </c>
      <c r="AC19" s="357"/>
      <c r="AD19" s="357"/>
      <c r="AE19" s="414" t="str">
        <f ca="1">IF(AA19="out","out",IF(AND(AE20&gt;=AG20,AE20&lt;=AH20),"OK","OUT"))</f>
        <v>OK</v>
      </c>
      <c r="AF19" s="357"/>
      <c r="AG19" s="357"/>
      <c r="AH19" s="357"/>
      <c r="AI19" s="237"/>
      <c r="AJ19" s="237"/>
    </row>
    <row r="20" spans="2:36" ht="15" customHeight="1" thickTop="1" thickBot="1" x14ac:dyDescent="0.25">
      <c r="B20" s="135" t="s">
        <v>132</v>
      </c>
      <c r="I20" s="28" t="s">
        <v>8</v>
      </c>
      <c r="J20" s="94"/>
      <c r="K20" s="589">
        <f ca="1">(L19*1000)/J19</f>
        <v>40.033031970049684</v>
      </c>
      <c r="L20" s="588"/>
      <c r="M20" s="30" t="s">
        <v>65</v>
      </c>
      <c r="P20" s="362"/>
      <c r="Q20" s="375" t="str">
        <f t="shared" si="1"/>
        <v>Ln20</v>
      </c>
      <c r="R20" s="83" t="str">
        <f>IF(AND(T18=T19,LEFT(T20,1)="F"),"OK",IF(AND(T18&lt;&gt;T19,LEFT(T20,1)&lt;&gt;"F"),"OK","ERR"))</f>
        <v>OK</v>
      </c>
      <c r="S20" s="547" t="s">
        <v>188</v>
      </c>
      <c r="T20" s="546" t="s">
        <v>187</v>
      </c>
      <c r="U20" s="397" t="s">
        <v>190</v>
      </c>
      <c r="V20" s="412"/>
      <c r="W20" s="392"/>
      <c r="X20" s="357"/>
      <c r="Y20" s="416" t="s">
        <v>47</v>
      </c>
      <c r="Z20" s="417" t="s">
        <v>1</v>
      </c>
      <c r="AA20" s="418">
        <f ca="1">J16</f>
        <v>2401.31</v>
      </c>
      <c r="AB20" s="419"/>
      <c r="AC20" s="420"/>
      <c r="AD20" s="421" t="s">
        <v>40</v>
      </c>
      <c r="AE20" s="422">
        <f ca="1">K17</f>
        <v>40.033031970049684</v>
      </c>
      <c r="AF20" s="423" t="s">
        <v>61</v>
      </c>
      <c r="AG20" s="424">
        <f ca="1">VLOOKUP(AA20,Z23:AH26,8,TRUE)</f>
        <v>33.841283599999997</v>
      </c>
      <c r="AH20" s="425">
        <f ca="1">VLOOKUP(AA20,Z23:AH26,9,TRUE)</f>
        <v>46</v>
      </c>
      <c r="AI20" s="237"/>
      <c r="AJ20" s="237"/>
    </row>
    <row r="21" spans="2:36" ht="13.5" thickTop="1" x14ac:dyDescent="0.2">
      <c r="B21" s="770" t="str">
        <f ca="1">IF(R10&lt;&gt;"OK","Caution - Landing Weight",IF(R11&lt;&gt;"OK","Watch Early Landing Weight",""))</f>
        <v/>
      </c>
      <c r="C21" s="772" t="str">
        <f ca="1">IF(OR(AA19="out",AE19="out"),"CAUTION:   Wt or CG Out of Limits","")</f>
        <v/>
      </c>
      <c r="D21" s="772"/>
      <c r="E21" s="772"/>
      <c r="F21" s="773"/>
      <c r="P21" s="362"/>
      <c r="Q21" s="375" t="str">
        <f t="shared" si="1"/>
        <v>Ln21</v>
      </c>
      <c r="R21" s="391"/>
      <c r="S21" s="548" t="s">
        <v>191</v>
      </c>
      <c r="T21" s="411">
        <v>1.7</v>
      </c>
      <c r="U21" s="413"/>
      <c r="V21" s="412">
        <f>ROUND(T21*6,0)*-1</f>
        <v>-10</v>
      </c>
      <c r="W21" s="357"/>
      <c r="X21" s="357"/>
      <c r="Y21" s="426" t="s">
        <v>48</v>
      </c>
      <c r="Z21" s="427"/>
      <c r="AA21" s="428" t="s">
        <v>67</v>
      </c>
      <c r="AB21" s="429"/>
      <c r="AC21" s="430"/>
      <c r="AD21" s="427"/>
      <c r="AE21" s="431" t="s">
        <v>66</v>
      </c>
      <c r="AF21" s="427"/>
      <c r="AG21" s="432" t="s">
        <v>46</v>
      </c>
      <c r="AH21" s="433" t="s">
        <v>46</v>
      </c>
      <c r="AI21" s="237"/>
      <c r="AJ21" s="237"/>
    </row>
    <row r="22" spans="2:36" ht="13.5" thickBot="1" x14ac:dyDescent="0.25">
      <c r="B22" s="771"/>
      <c r="C22" s="774"/>
      <c r="D22" s="774"/>
      <c r="E22" s="774"/>
      <c r="F22" s="775"/>
      <c r="H22" s="673"/>
      <c r="P22" s="358"/>
      <c r="Q22" s="357"/>
      <c r="R22" s="391"/>
      <c r="S22" s="550" t="s">
        <v>15</v>
      </c>
      <c r="T22" s="391"/>
      <c r="U22" s="392"/>
      <c r="V22" s="391"/>
      <c r="W22" s="393" t="s">
        <v>177</v>
      </c>
      <c r="X22" s="357"/>
      <c r="Y22" s="426" t="s">
        <v>49</v>
      </c>
      <c r="Z22" s="434" t="s">
        <v>41</v>
      </c>
      <c r="AA22" s="434" t="s">
        <v>42</v>
      </c>
      <c r="AB22" s="435" t="s">
        <v>43</v>
      </c>
      <c r="AC22" s="436" t="s">
        <v>41</v>
      </c>
      <c r="AD22" s="437" t="s">
        <v>42</v>
      </c>
      <c r="AE22" s="438" t="s">
        <v>44</v>
      </c>
      <c r="AF22" s="439" t="s">
        <v>45</v>
      </c>
      <c r="AG22" s="440" t="s">
        <v>68</v>
      </c>
      <c r="AH22" s="441" t="s">
        <v>69</v>
      </c>
      <c r="AI22" s="237"/>
      <c r="AJ22" s="237"/>
    </row>
    <row r="23" spans="2:36" ht="13.5" thickTop="1" x14ac:dyDescent="0.2">
      <c r="B23" s="34" t="str">
        <f>IF(AND(R52&lt;&gt;"OK",R48&lt;&gt;"OK"),"Enter Fuel on Board","")</f>
        <v/>
      </c>
      <c r="C23" s="776" t="str">
        <f>IF(R53&lt;&gt;"OK","Fuel &lt;1-HR Reserve","")</f>
        <v/>
      </c>
      <c r="D23" s="776"/>
      <c r="E23" s="776"/>
      <c r="F23" s="777"/>
      <c r="I23" s="10" t="s">
        <v>64</v>
      </c>
      <c r="P23" s="358"/>
      <c r="Q23" s="401"/>
      <c r="R23" s="391"/>
      <c r="S23" s="550" t="s">
        <v>23</v>
      </c>
      <c r="T23" s="391"/>
      <c r="U23" s="392"/>
      <c r="V23" s="391"/>
      <c r="W23" s="393" t="s">
        <v>177</v>
      </c>
      <c r="X23" s="357"/>
      <c r="Y23" s="426" t="s">
        <v>50</v>
      </c>
      <c r="Z23" s="442">
        <f>Z15</f>
        <v>1800</v>
      </c>
      <c r="AA23" s="443">
        <f>Z12</f>
        <v>2250</v>
      </c>
      <c r="AB23" s="444">
        <f>+AA23-Z23</f>
        <v>450</v>
      </c>
      <c r="AC23" s="445">
        <f>AE16</f>
        <v>33</v>
      </c>
      <c r="AD23" s="446">
        <f>AE12</f>
        <v>33</v>
      </c>
      <c r="AE23" s="447">
        <f>AD23-AC23</f>
        <v>0</v>
      </c>
      <c r="AF23" s="448">
        <f>IF(OR(AB23=0,AE23=0),0,ROUND(AE23/AB23,5))</f>
        <v>0</v>
      </c>
      <c r="AG23" s="449">
        <f ca="1">IF(AND(AA20&gt;=Z23,AA20&lt;AA23),AC23+((AA20-Z23)*AF23),AC23)</f>
        <v>33</v>
      </c>
      <c r="AH23" s="450">
        <f>AD26</f>
        <v>46</v>
      </c>
      <c r="AI23" s="237"/>
      <c r="AJ23" s="237"/>
    </row>
    <row r="24" spans="2:36" ht="12.75" customHeight="1" x14ac:dyDescent="0.2">
      <c r="B24" s="77" t="str">
        <f>IF(AND(R52&lt;&gt;"OK",R49&lt;&gt;"OK"),"Enter GPH Usage","")</f>
        <v/>
      </c>
      <c r="C24" s="778" t="str">
        <f>IF(OR(R18&lt;&gt;"OK",R51&lt;&gt;"OK"),"Fueling Error","")</f>
        <v/>
      </c>
      <c r="D24" s="778"/>
      <c r="E24" s="778"/>
      <c r="F24" s="779"/>
      <c r="I24" s="9" t="s">
        <v>62</v>
      </c>
      <c r="P24" s="358"/>
      <c r="Q24" s="401"/>
      <c r="R24" s="401"/>
      <c r="S24" s="401"/>
      <c r="T24" s="401"/>
      <c r="U24" s="401"/>
      <c r="V24" s="401"/>
      <c r="W24" s="401"/>
      <c r="X24" s="357"/>
      <c r="Y24" s="426" t="s">
        <v>51</v>
      </c>
      <c r="Z24" s="451">
        <f>AA23</f>
        <v>2250</v>
      </c>
      <c r="AA24" s="452">
        <f>Z10</f>
        <v>2700</v>
      </c>
      <c r="AB24" s="453">
        <f>+AA24-Z24</f>
        <v>450</v>
      </c>
      <c r="AC24" s="454">
        <f>IF(AD24=AD23,AC23,AD23)</f>
        <v>33</v>
      </c>
      <c r="AD24" s="455">
        <f>AE10</f>
        <v>35.5</v>
      </c>
      <c r="AE24" s="447">
        <f>AD24-AC24</f>
        <v>2.5</v>
      </c>
      <c r="AF24" s="448">
        <f>IF(OR(AB24=0,AE24=0),0,ROUND(AE24/AB24,5))</f>
        <v>5.5599999999999998E-3</v>
      </c>
      <c r="AG24" s="449">
        <f ca="1">IF(AND(AA20&gt;=Z24,AA20&lt;AA24),AC24+((AA20-Z24)*AF24),AC24)</f>
        <v>33.841283599999997</v>
      </c>
      <c r="AH24" s="213">
        <f>AH23</f>
        <v>46</v>
      </c>
      <c r="AI24" s="237"/>
      <c r="AJ24" s="237"/>
    </row>
    <row r="25" spans="2:36" ht="13.5" customHeight="1" thickBot="1" x14ac:dyDescent="0.25">
      <c r="B25" s="78" t="str">
        <f>IF(AND(R52&lt;&gt;"OK",R50&lt;&gt;"OK"),"Enter FLIGHT TIME","")</f>
        <v/>
      </c>
      <c r="C25" s="780" t="str">
        <f>IF(R46="WARN","Load PILOT SEAT","")</f>
        <v/>
      </c>
      <c r="D25" s="780"/>
      <c r="E25" s="780"/>
      <c r="F25" s="781"/>
      <c r="I25" s="8" t="str">
        <f>"Pilot:  "&amp;C7&amp;"#"</f>
        <v>Pilot:  #</v>
      </c>
      <c r="P25" s="358"/>
      <c r="Q25" s="370" t="s">
        <v>159</v>
      </c>
      <c r="R25" s="371"/>
      <c r="S25" s="371"/>
      <c r="T25" s="371"/>
      <c r="U25" s="372" t="s">
        <v>2</v>
      </c>
      <c r="V25" s="372" t="s">
        <v>1</v>
      </c>
      <c r="W25" s="373" t="s">
        <v>179</v>
      </c>
      <c r="X25" s="357"/>
      <c r="Y25" s="426" t="s">
        <v>52</v>
      </c>
      <c r="Z25" s="451">
        <f>AA24</f>
        <v>2700</v>
      </c>
      <c r="AA25" s="452">
        <f>AA8</f>
        <v>3100</v>
      </c>
      <c r="AB25" s="453">
        <f>+AA25-Z25</f>
        <v>400</v>
      </c>
      <c r="AC25" s="454">
        <f>IF(AD25=AD24,AC24,AD24)</f>
        <v>35.5</v>
      </c>
      <c r="AD25" s="455">
        <f>AF8</f>
        <v>40.9</v>
      </c>
      <c r="AE25" s="447">
        <f>AD25-AC25</f>
        <v>5.3999999999999986</v>
      </c>
      <c r="AF25" s="448">
        <f>IF(OR(AB25=0,AE25=0),0,ROUND(AE25/AB25,5))</f>
        <v>1.35E-2</v>
      </c>
      <c r="AG25" s="449">
        <f ca="1">IF(AND(AA20&gt;=Z25,AA20&lt;AA25),AC25+((AA20-Z25)*AF25),AC25)</f>
        <v>35.5</v>
      </c>
      <c r="AH25" s="213">
        <f>AH24</f>
        <v>46</v>
      </c>
      <c r="AI25" s="237"/>
      <c r="AJ25" s="237"/>
    </row>
    <row r="26" spans="2:36" ht="13.5" thickTop="1" x14ac:dyDescent="0.2">
      <c r="I26" s="8" t="str">
        <f>"R Front:  "&amp;IF(E7=0,"---",E7&amp;"#")</f>
        <v>R Front:  ---</v>
      </c>
      <c r="P26" s="358"/>
      <c r="Q26" s="375" t="str">
        <f t="shared" si="1"/>
        <v>Ln26</v>
      </c>
      <c r="R26" s="391"/>
      <c r="S26" s="456" t="s">
        <v>11</v>
      </c>
      <c r="T26" s="378"/>
      <c r="U26" s="380">
        <v>37</v>
      </c>
      <c r="V26" s="412">
        <f>C7+E7</f>
        <v>0</v>
      </c>
      <c r="W26" s="457"/>
      <c r="X26" s="357"/>
      <c r="Y26" s="458" t="s">
        <v>52</v>
      </c>
      <c r="Z26" s="459">
        <f>AA25</f>
        <v>3100</v>
      </c>
      <c r="AA26" s="460">
        <f>AC8</f>
        <v>3100</v>
      </c>
      <c r="AB26" s="461">
        <f>+AA26-Z26</f>
        <v>0</v>
      </c>
      <c r="AC26" s="462">
        <f>IF(AD26=AD25,AC25,AD25)</f>
        <v>40.9</v>
      </c>
      <c r="AD26" s="463">
        <f>AH8</f>
        <v>46</v>
      </c>
      <c r="AE26" s="464">
        <f>AD26-AC26</f>
        <v>5.1000000000000014</v>
      </c>
      <c r="AF26" s="465">
        <f>IF(OR(AB26=0,AE26=0),0,ROUND(AE26/AB26,5))</f>
        <v>0</v>
      </c>
      <c r="AG26" s="466">
        <f ca="1">IF(AND(AA20&gt;=Z26,AA20&lt;AA26),AC26+((AA20-Z26)*AF26),AC26)</f>
        <v>40.9</v>
      </c>
      <c r="AH26" s="217">
        <f>AH25</f>
        <v>46</v>
      </c>
      <c r="AI26" s="237"/>
      <c r="AJ26" s="237"/>
    </row>
    <row r="27" spans="2:36" ht="12.75" customHeight="1" x14ac:dyDescent="0.2">
      <c r="B27" s="60" t="s">
        <v>79</v>
      </c>
      <c r="H27" s="1"/>
      <c r="I27" s="8" t="str">
        <f>"L  Rear:  "&amp;IF(C9=0,"---",C9&amp;"#")</f>
        <v>L  Rear:  ---</v>
      </c>
      <c r="P27" s="358"/>
      <c r="Q27" s="375" t="str">
        <f t="shared" si="1"/>
        <v>Ln27</v>
      </c>
      <c r="R27" s="391"/>
      <c r="S27" s="456" t="s">
        <v>12</v>
      </c>
      <c r="T27" s="378"/>
      <c r="U27" s="380">
        <v>74</v>
      </c>
      <c r="V27" s="412">
        <f>C9+E9</f>
        <v>0</v>
      </c>
      <c r="W27" s="457"/>
      <c r="X27" s="357"/>
      <c r="Y27" s="357"/>
      <c r="Z27" s="357"/>
      <c r="AA27" s="357"/>
      <c r="AB27" s="357"/>
      <c r="AC27" s="357"/>
      <c r="AD27" s="357"/>
      <c r="AE27" s="357"/>
      <c r="AF27" s="357"/>
      <c r="AG27" s="357"/>
      <c r="AH27" s="357"/>
      <c r="AI27" s="237"/>
      <c r="AJ27" s="237"/>
    </row>
    <row r="28" spans="2:36" ht="13.5" thickBot="1" x14ac:dyDescent="0.25">
      <c r="B28" s="22" t="s">
        <v>127</v>
      </c>
      <c r="D28" s="782">
        <f>U37+(J15*-1)</f>
        <v>1082</v>
      </c>
      <c r="E28" s="783"/>
      <c r="F28" s="784" t="str">
        <f>"( "&amp;TEXT(U37,"#,##0")&amp;"+"&amp;J15*-1&amp;" )"</f>
        <v>( 1,072+10 )</v>
      </c>
      <c r="G28" s="785"/>
      <c r="H28" s="785"/>
      <c r="I28" s="8" t="str">
        <f>"R  Rear:  "&amp;IF(E9=0,"---",E9&amp;"#")</f>
        <v>R  Rear:  ---</v>
      </c>
      <c r="P28" s="358"/>
      <c r="Q28" s="357"/>
      <c r="R28" s="357"/>
      <c r="S28" s="357"/>
      <c r="T28" s="357"/>
      <c r="U28" s="413"/>
      <c r="V28" s="413"/>
      <c r="W28" s="357"/>
      <c r="X28" s="357"/>
      <c r="Y28" s="357"/>
      <c r="Z28" s="357"/>
      <c r="AA28" s="357"/>
      <c r="AB28" s="357"/>
      <c r="AC28" s="357"/>
      <c r="AD28" s="357"/>
      <c r="AE28" s="357"/>
      <c r="AF28" s="357"/>
      <c r="AG28" s="357"/>
      <c r="AH28" s="357"/>
      <c r="AI28" s="237"/>
      <c r="AJ28" s="237"/>
    </row>
    <row r="29" spans="2:36" ht="13.5" thickBot="1" x14ac:dyDescent="0.25">
      <c r="B29" s="22" t="s">
        <v>126</v>
      </c>
      <c r="D29" s="786">
        <f>SUM(J8:J13)</f>
        <v>384</v>
      </c>
      <c r="E29" s="787"/>
      <c r="I29" s="8" t="str">
        <f>"Bag 1:  "&amp;IF(C11=0,"---",C11&amp;"#")</f>
        <v>Bag 1:  ---</v>
      </c>
      <c r="P29" s="358"/>
      <c r="Q29" s="375" t="str">
        <f t="shared" si="1"/>
        <v>Ln29</v>
      </c>
      <c r="R29" s="467" t="str">
        <f>IF(C11&gt;V29,"ERR","OK")</f>
        <v>OK</v>
      </c>
      <c r="S29" s="456" t="s">
        <v>25</v>
      </c>
      <c r="T29" s="512">
        <f>C11</f>
        <v>0</v>
      </c>
      <c r="U29" s="380">
        <v>97</v>
      </c>
      <c r="V29" s="468">
        <v>120</v>
      </c>
      <c r="W29" s="393" t="s">
        <v>176</v>
      </c>
      <c r="X29" s="357"/>
      <c r="Y29" s="357"/>
      <c r="Z29" s="357"/>
      <c r="AA29" s="357"/>
      <c r="AB29" s="357"/>
      <c r="AC29" s="357"/>
      <c r="AD29" s="357"/>
      <c r="AE29" s="357"/>
      <c r="AF29" s="357"/>
      <c r="AG29" s="357"/>
      <c r="AH29" s="357"/>
      <c r="AI29" s="237"/>
      <c r="AJ29" s="237"/>
    </row>
    <row r="30" spans="2:36" ht="15.75" x14ac:dyDescent="0.3">
      <c r="B30" s="22" t="str">
        <f>IF(D29&lt;=D28,"Lbs before overweight","OVERWEIGHT")</f>
        <v>Lbs before overweight</v>
      </c>
      <c r="D30" s="788">
        <f>ABS(D28-D29)</f>
        <v>698</v>
      </c>
      <c r="E30" s="789"/>
      <c r="F30" s="790" t="str">
        <f>IF(D29&gt;D28,"# Over","")</f>
        <v/>
      </c>
      <c r="G30" s="791"/>
      <c r="H30" s="791"/>
      <c r="I30" s="8" t="str">
        <f>"Bag 2:  "&amp;IF(C12=0,"---",C12&amp;"#")</f>
        <v>Bag 2:  ---</v>
      </c>
      <c r="P30" s="358"/>
      <c r="Q30" s="375" t="str">
        <f t="shared" si="1"/>
        <v>Ln30</v>
      </c>
      <c r="R30" s="467" t="str">
        <f>IF(C12&gt;V30,"ERR","OK")</f>
        <v>OK</v>
      </c>
      <c r="S30" s="456" t="s">
        <v>26</v>
      </c>
      <c r="T30" s="512">
        <f>C12</f>
        <v>0</v>
      </c>
      <c r="U30" s="380">
        <v>116</v>
      </c>
      <c r="V30" s="468">
        <v>80</v>
      </c>
      <c r="W30" s="393" t="s">
        <v>176</v>
      </c>
      <c r="X30" s="357"/>
      <c r="Y30" s="357"/>
      <c r="Z30" s="472"/>
      <c r="AA30" s="473"/>
      <c r="AB30" s="474" t="s">
        <v>165</v>
      </c>
      <c r="AC30" s="371"/>
      <c r="AD30" s="371"/>
      <c r="AE30" s="371"/>
      <c r="AF30" s="371"/>
      <c r="AG30" s="371"/>
      <c r="AH30" s="357"/>
      <c r="AI30" s="237"/>
      <c r="AJ30" s="237"/>
    </row>
    <row r="31" spans="2:36" ht="15.75" thickBot="1" x14ac:dyDescent="0.3">
      <c r="P31" s="358"/>
      <c r="Q31" s="375" t="str">
        <f t="shared" si="1"/>
        <v>Ln31</v>
      </c>
      <c r="R31" s="511" t="str">
        <f>IF(D13&gt;V31,"ERR","OK")</f>
        <v>OK</v>
      </c>
      <c r="S31" s="509" t="s">
        <v>28</v>
      </c>
      <c r="T31" s="512">
        <f>D13</f>
        <v>0</v>
      </c>
      <c r="U31" s="380">
        <v>129</v>
      </c>
      <c r="V31" s="468">
        <v>80</v>
      </c>
      <c r="W31" s="393" t="s">
        <v>176</v>
      </c>
      <c r="X31" s="357"/>
      <c r="Y31" s="357"/>
      <c r="Z31" s="357"/>
      <c r="AA31" s="357"/>
      <c r="AB31" s="357"/>
      <c r="AC31" s="382" t="s">
        <v>162</v>
      </c>
      <c r="AD31" s="357"/>
      <c r="AE31" s="357"/>
      <c r="AF31" s="357"/>
      <c r="AG31" s="473"/>
      <c r="AH31" s="357"/>
      <c r="AI31" s="237"/>
      <c r="AJ31" s="237"/>
    </row>
    <row r="32" spans="2:36" ht="13.5" thickTop="1" x14ac:dyDescent="0.2">
      <c r="B32" s="22"/>
      <c r="I32" s="8"/>
      <c r="P32" s="358"/>
      <c r="Q32" s="375" t="str">
        <f t="shared" si="1"/>
        <v>Ln32</v>
      </c>
      <c r="R32" s="511" t="str">
        <f>IF(C11+C12+D13&gt;V32,"ERR","OK")</f>
        <v>OK</v>
      </c>
      <c r="S32" s="510" t="s">
        <v>29</v>
      </c>
      <c r="T32" s="512">
        <f>SUM(C11,C12,D13)</f>
        <v>0</v>
      </c>
      <c r="U32" s="471"/>
      <c r="V32" s="468">
        <v>200</v>
      </c>
      <c r="W32" s="357"/>
      <c r="X32" s="357"/>
      <c r="Y32" s="476"/>
      <c r="Z32" s="477"/>
      <c r="AA32" s="478">
        <v>2950</v>
      </c>
      <c r="AC32" s="403">
        <f>AA32</f>
        <v>2950</v>
      </c>
      <c r="AD32" s="357"/>
      <c r="AF32" s="479">
        <v>39</v>
      </c>
      <c r="AH32" s="390">
        <v>46</v>
      </c>
      <c r="AI32" s="237"/>
      <c r="AJ32" s="237"/>
    </row>
    <row r="33" spans="2:36" x14ac:dyDescent="0.2">
      <c r="B33" s="22"/>
      <c r="I33" s="9" t="s">
        <v>63</v>
      </c>
      <c r="P33" s="358"/>
      <c r="Q33" s="375" t="str">
        <f t="shared" si="1"/>
        <v>Ln33</v>
      </c>
      <c r="R33" s="511" t="str">
        <f>IF(C11+C12&gt;V33,"ERR","OK")</f>
        <v>OK</v>
      </c>
      <c r="S33" s="470" t="s">
        <v>30</v>
      </c>
      <c r="T33" s="512"/>
      <c r="U33" s="471"/>
      <c r="V33" s="468">
        <v>200</v>
      </c>
      <c r="W33" s="357"/>
      <c r="X33" s="357"/>
      <c r="Y33" s="480"/>
      <c r="Z33" s="82"/>
      <c r="AD33" s="357"/>
      <c r="AI33" s="237"/>
      <c r="AJ33" s="237"/>
    </row>
    <row r="34" spans="2:36" ht="13.5" x14ac:dyDescent="0.25">
      <c r="B34" s="22"/>
      <c r="I34" s="10" t="str">
        <f>"Start:  "&amp;TEXT(D15,("###.0"))&amp;" USG"</f>
        <v>Start:  64.0 USG</v>
      </c>
      <c r="P34" s="358"/>
      <c r="Q34" s="375" t="str">
        <f t="shared" si="1"/>
        <v>Ln34</v>
      </c>
      <c r="R34" s="511" t="str">
        <f>IF(C12+D13&gt;V34,"ERR","OK")</f>
        <v>OK</v>
      </c>
      <c r="S34" s="510" t="s">
        <v>71</v>
      </c>
      <c r="T34" s="512"/>
      <c r="U34" s="471"/>
      <c r="V34" s="468">
        <v>80</v>
      </c>
      <c r="W34" s="357"/>
      <c r="X34" s="357"/>
      <c r="Y34" s="481" t="s">
        <v>155</v>
      </c>
      <c r="Z34" s="478">
        <v>2700</v>
      </c>
      <c r="AD34" s="357"/>
      <c r="AE34" s="483">
        <v>35.700000000000003</v>
      </c>
      <c r="AI34" s="237"/>
      <c r="AJ34" s="237"/>
    </row>
    <row r="35" spans="2:36" ht="13.5" x14ac:dyDescent="0.25">
      <c r="I35" s="10" t="str">
        <f>"Used:    "&amp;TEXT(D18,("###.0"))&amp;" USG"</f>
        <v>Used:    .0 USG</v>
      </c>
      <c r="P35" s="358"/>
      <c r="Q35" s="357"/>
      <c r="R35" s="357"/>
      <c r="S35" s="357"/>
      <c r="T35" s="357"/>
      <c r="U35" s="357"/>
      <c r="V35" s="357"/>
      <c r="W35" s="357"/>
      <c r="X35" s="357"/>
      <c r="Y35" s="481" t="s">
        <v>50</v>
      </c>
      <c r="Z35" s="82"/>
      <c r="AA35" s="766" t="s">
        <v>1</v>
      </c>
      <c r="AB35" s="766"/>
      <c r="AD35" s="357"/>
      <c r="AF35" s="766" t="s">
        <v>154</v>
      </c>
      <c r="AG35" s="766"/>
      <c r="AI35" s="237"/>
      <c r="AJ35" s="237"/>
    </row>
    <row r="36" spans="2:36" ht="13.5" x14ac:dyDescent="0.25">
      <c r="I36" s="10" t="str">
        <f>"Reserve:  "&amp;TEXT(D15-D18,"###.0")&amp;" USG"</f>
        <v>Reserve:  64.0 USG</v>
      </c>
      <c r="P36" s="358"/>
      <c r="Q36" s="370" t="s">
        <v>160</v>
      </c>
      <c r="R36" s="371"/>
      <c r="S36" s="371"/>
      <c r="T36" s="371"/>
      <c r="U36" s="482" t="s">
        <v>1</v>
      </c>
      <c r="V36" s="357"/>
      <c r="W36" s="357"/>
      <c r="X36" s="357"/>
      <c r="Y36" s="481" t="s">
        <v>56</v>
      </c>
      <c r="Z36" s="478">
        <v>2250</v>
      </c>
      <c r="AA36" s="766" t="s">
        <v>153</v>
      </c>
      <c r="AB36" s="766"/>
      <c r="AD36" s="357"/>
      <c r="AE36" s="628">
        <f>AE40</f>
        <v>33</v>
      </c>
      <c r="AF36" s="766" t="s">
        <v>153</v>
      </c>
      <c r="AG36" s="766"/>
      <c r="AI36" s="237"/>
      <c r="AJ36" s="237"/>
    </row>
    <row r="37" spans="2:36" ht="13.5" x14ac:dyDescent="0.25">
      <c r="P37" s="358"/>
      <c r="Q37" s="375" t="str">
        <f t="shared" ref="Q37:Q39" si="2">"Ln"&amp;ROW()</f>
        <v>Ln37</v>
      </c>
      <c r="R37" s="484"/>
      <c r="S37" s="400" t="s">
        <v>77</v>
      </c>
      <c r="T37" s="485"/>
      <c r="U37" s="486">
        <f>ROUNDDOWN(U8-U7,0)</f>
        <v>1072</v>
      </c>
      <c r="V37" s="357"/>
      <c r="W37" s="357"/>
      <c r="X37" s="357"/>
      <c r="Y37" s="481" t="s">
        <v>57</v>
      </c>
      <c r="Z37" s="82"/>
      <c r="AC37" s="767" t="s">
        <v>157</v>
      </c>
      <c r="AD37" s="357"/>
      <c r="AH37" s="767" t="s">
        <v>157</v>
      </c>
      <c r="AI37" s="237"/>
      <c r="AJ37" s="237"/>
    </row>
    <row r="38" spans="2:36" ht="13.5" x14ac:dyDescent="0.25">
      <c r="I38" s="9" t="s">
        <v>72</v>
      </c>
      <c r="P38" s="358"/>
      <c r="Q38" s="375" t="str">
        <f t="shared" si="2"/>
        <v>Ln38</v>
      </c>
      <c r="R38" s="484"/>
      <c r="S38" s="400" t="s">
        <v>76</v>
      </c>
      <c r="T38" s="485"/>
      <c r="U38" s="486">
        <f>IF(T19=0,"",U37-V19)</f>
        <v>688</v>
      </c>
      <c r="V38" s="357"/>
      <c r="W38" s="357"/>
      <c r="X38" s="357"/>
      <c r="Y38" s="481" t="s">
        <v>156</v>
      </c>
      <c r="Z38" s="82"/>
      <c r="AC38" s="767"/>
      <c r="AD38" s="357"/>
      <c r="AH38" s="767"/>
      <c r="AI38" s="237"/>
      <c r="AJ38" s="237"/>
    </row>
    <row r="39" spans="2:36" ht="13.5" x14ac:dyDescent="0.25">
      <c r="H39" s="7"/>
      <c r="I39" s="63" t="str">
        <f>IF(T42="","","Max Flight (NO Res)")</f>
        <v/>
      </c>
      <c r="P39" s="358"/>
      <c r="Q39" s="375" t="str">
        <f t="shared" si="2"/>
        <v>Ln39</v>
      </c>
      <c r="R39" s="484"/>
      <c r="S39" s="400" t="s">
        <v>78</v>
      </c>
      <c r="T39" s="487"/>
      <c r="U39" s="486">
        <f>U37-V18</f>
        <v>550</v>
      </c>
      <c r="V39" s="357"/>
      <c r="W39" s="357"/>
      <c r="X39" s="357"/>
      <c r="Y39" s="481" t="s">
        <v>47</v>
      </c>
      <c r="Z39" s="82"/>
      <c r="AC39" s="768"/>
      <c r="AD39" s="357"/>
      <c r="AH39" s="768"/>
      <c r="AI39" s="237"/>
      <c r="AJ39" s="237"/>
    </row>
    <row r="40" spans="2:36" x14ac:dyDescent="0.2">
      <c r="H40" s="7"/>
      <c r="I40" s="21" t="str">
        <f>IF(T42="","","~"&amp;TEXT(T42,("##.0"))&amp;" hrs")</f>
        <v/>
      </c>
      <c r="P40" s="358"/>
      <c r="Q40" s="357"/>
      <c r="R40" s="357"/>
      <c r="S40" s="357"/>
      <c r="T40" s="413"/>
      <c r="U40" s="413"/>
      <c r="V40" s="357"/>
      <c r="W40" s="357"/>
      <c r="X40" s="357"/>
      <c r="Y40" s="480"/>
      <c r="Z40" s="478">
        <v>1800</v>
      </c>
      <c r="AC40" s="403">
        <f>AC32</f>
        <v>2950</v>
      </c>
      <c r="AD40" s="357"/>
      <c r="AE40" s="489">
        <v>33</v>
      </c>
      <c r="AF40" s="82"/>
      <c r="AG40" s="82"/>
      <c r="AH40" s="490">
        <f>AH32</f>
        <v>46</v>
      </c>
      <c r="AI40" s="242"/>
      <c r="AJ40" s="242"/>
    </row>
    <row r="41" spans="2:36" ht="14.25" thickBot="1" x14ac:dyDescent="0.3">
      <c r="I41" s="61" t="str">
        <f>IF(T42="","","@ "&amp;TEXT(D16,"##.0")&amp;" GPH")</f>
        <v/>
      </c>
      <c r="P41" s="358"/>
      <c r="Q41" s="370" t="s">
        <v>119</v>
      </c>
      <c r="R41" s="371"/>
      <c r="S41" s="482"/>
      <c r="T41" s="488" t="s">
        <v>121</v>
      </c>
      <c r="U41" s="413"/>
      <c r="V41" s="357"/>
      <c r="W41" s="357"/>
      <c r="X41" s="357"/>
      <c r="Y41" s="494"/>
      <c r="Z41" s="495"/>
      <c r="AD41" s="357"/>
      <c r="AE41" s="496"/>
      <c r="AF41" s="769" t="s">
        <v>161</v>
      </c>
      <c r="AG41" s="769"/>
      <c r="AH41" s="497"/>
      <c r="AI41" s="237"/>
      <c r="AJ41" s="237"/>
    </row>
    <row r="42" spans="2:36" ht="13.5" thickTop="1" x14ac:dyDescent="0.2">
      <c r="I42" s="65" t="str">
        <f>IF(R52&lt;&gt;"OK","","  At end of ")</f>
        <v/>
      </c>
      <c r="P42" s="358"/>
      <c r="Q42" s="375" t="str">
        <f t="shared" ref="Q42:Q43" si="3">"Ln"&amp;ROW()</f>
        <v>Ln42</v>
      </c>
      <c r="R42" s="491" t="s">
        <v>91</v>
      </c>
      <c r="S42" s="492"/>
      <c r="T42" s="493" t="str">
        <f>IF(AND(D15&gt;0,D18&gt;0),ROUND(D15/D16,3),"")</f>
        <v/>
      </c>
      <c r="U42" s="413"/>
      <c r="V42" s="357"/>
      <c r="W42" s="357"/>
      <c r="X42" s="357"/>
      <c r="Y42" s="357"/>
      <c r="Z42" s="357"/>
      <c r="AA42" s="357"/>
      <c r="AB42" s="357"/>
      <c r="AC42" s="357"/>
      <c r="AD42" s="357"/>
      <c r="AE42" s="357"/>
      <c r="AF42" s="357"/>
      <c r="AG42" s="357"/>
      <c r="AH42" s="357"/>
      <c r="AI42" s="237"/>
      <c r="AJ42" s="237"/>
    </row>
    <row r="43" spans="2:36" ht="13.5" thickBot="1" x14ac:dyDescent="0.25">
      <c r="I43" s="66" t="str">
        <f>IF(R52&lt;&gt;"OK","",TEXT(D17,"##.0")&amp;" Hr Trip . . ")</f>
        <v/>
      </c>
      <c r="P43" s="358"/>
      <c r="Q43" s="375" t="str">
        <f t="shared" si="3"/>
        <v>Ln43</v>
      </c>
      <c r="R43" s="491" t="s">
        <v>95</v>
      </c>
      <c r="S43" s="492"/>
      <c r="T43" s="493" t="str">
        <f>IF(AND(D15&gt;0,D16&gt;0,D18&gt;0),ROUND((D15-D18)/D16,3),"")</f>
        <v/>
      </c>
      <c r="U43" s="413"/>
      <c r="V43" s="357"/>
      <c r="W43" s="357"/>
      <c r="X43" s="357"/>
      <c r="Y43" s="357"/>
      <c r="Z43" s="357"/>
      <c r="AA43" s="498" t="str">
        <f ca="1">IF(U8=U10,"OK",IF(AA44&gt;U10,"OUT","OK"))</f>
        <v>OK</v>
      </c>
      <c r="AB43" s="415" t="s">
        <v>164</v>
      </c>
      <c r="AC43" s="357"/>
      <c r="AD43" s="357"/>
      <c r="AE43" s="498" t="str">
        <f ca="1">IF(U8=U10,"OK",IF(AND(AE44&gt;=AG44,AE44&lt;=AH44),"OK","OUT"))</f>
        <v>OK</v>
      </c>
      <c r="AF43" s="357"/>
      <c r="AG43" s="357"/>
      <c r="AH43" s="357"/>
      <c r="AI43" s="237"/>
      <c r="AJ43" s="237"/>
    </row>
    <row r="44" spans="2:36" ht="14.25" thickTop="1" thickBot="1" x14ac:dyDescent="0.25">
      <c r="I44" s="62" t="str">
        <f>IF(R52&lt;&gt;"OK","","Reserve is ~ "&amp;TEXT(T43,"##.0")&amp;" Hrs")</f>
        <v/>
      </c>
      <c r="P44" s="358"/>
      <c r="Q44" s="357"/>
      <c r="R44" s="357"/>
      <c r="S44" s="357"/>
      <c r="T44" s="357"/>
      <c r="U44" s="357"/>
      <c r="V44" s="357"/>
      <c r="W44" s="357"/>
      <c r="X44" s="357"/>
      <c r="Y44" s="416" t="s">
        <v>53</v>
      </c>
      <c r="Z44" s="417" t="s">
        <v>1</v>
      </c>
      <c r="AA44" s="499">
        <f ca="1">J19</f>
        <v>2401.31</v>
      </c>
      <c r="AB44" s="419"/>
      <c r="AC44" s="420"/>
      <c r="AD44" s="500" t="s">
        <v>40</v>
      </c>
      <c r="AE44" s="499">
        <f ca="1">K20</f>
        <v>40.033031970049684</v>
      </c>
      <c r="AF44" s="423" t="s">
        <v>61</v>
      </c>
      <c r="AG44" s="501">
        <f ca="1">VLOOKUP(AA44,Z47:AH50,8)</f>
        <v>33.907859999999999</v>
      </c>
      <c r="AH44" s="502">
        <f ca="1">VLOOKUP(AA44,Z47:AH50,9)</f>
        <v>46</v>
      </c>
      <c r="AI44" s="237"/>
      <c r="AJ44" s="237"/>
    </row>
    <row r="45" spans="2:36" ht="13.5" thickTop="1" x14ac:dyDescent="0.2">
      <c r="I45" s="64" t="str">
        <f>IF(R52&lt;&gt;"OK","",IF(R53&lt;&gt;"OK","Caution: &lt; 1 HR",""))</f>
        <v/>
      </c>
      <c r="P45" s="358"/>
      <c r="Q45" s="370" t="s">
        <v>175</v>
      </c>
      <c r="R45" s="371"/>
      <c r="S45" s="482"/>
      <c r="T45" s="482"/>
      <c r="U45" s="357"/>
      <c r="V45" s="357"/>
      <c r="W45" s="357"/>
      <c r="X45" s="357"/>
      <c r="Y45" s="426" t="s">
        <v>48</v>
      </c>
      <c r="Z45" s="427"/>
      <c r="AA45" s="428" t="s">
        <v>67</v>
      </c>
      <c r="AB45" s="429"/>
      <c r="AC45" s="430"/>
      <c r="AD45" s="427"/>
      <c r="AE45" s="431" t="s">
        <v>66</v>
      </c>
      <c r="AF45" s="427"/>
      <c r="AG45" s="432" t="s">
        <v>46</v>
      </c>
      <c r="AH45" s="433" t="s">
        <v>46</v>
      </c>
      <c r="AI45" s="237"/>
      <c r="AJ45" s="237"/>
    </row>
    <row r="46" spans="2:36" ht="13.5" thickBot="1" x14ac:dyDescent="0.25">
      <c r="P46" s="358"/>
      <c r="Q46" s="375" t="str">
        <f t="shared" ref="Q46:Q53" si="4">"Ln"&amp;ROW()</f>
        <v>Ln46</v>
      </c>
      <c r="R46" s="503" t="str">
        <f>IF(AND(C7="",(E7+C9+E9)&gt;0),"WARN","OK")</f>
        <v>OK</v>
      </c>
      <c r="S46" s="504" t="s">
        <v>89</v>
      </c>
      <c r="T46" s="505"/>
      <c r="U46" s="357"/>
      <c r="V46" s="357"/>
      <c r="W46" s="357"/>
      <c r="X46" s="357"/>
      <c r="Y46" s="426" t="s">
        <v>54</v>
      </c>
      <c r="Z46" s="434" t="s">
        <v>41</v>
      </c>
      <c r="AA46" s="434" t="s">
        <v>42</v>
      </c>
      <c r="AB46" s="435" t="s">
        <v>43</v>
      </c>
      <c r="AC46" s="436" t="s">
        <v>41</v>
      </c>
      <c r="AD46" s="437" t="s">
        <v>42</v>
      </c>
      <c r="AE46" s="438" t="s">
        <v>44</v>
      </c>
      <c r="AF46" s="439" t="s">
        <v>45</v>
      </c>
      <c r="AG46" s="440" t="s">
        <v>68</v>
      </c>
      <c r="AH46" s="441" t="s">
        <v>69</v>
      </c>
      <c r="AI46" s="237"/>
      <c r="AJ46" s="237"/>
    </row>
    <row r="47" spans="2:36" ht="13.5" thickTop="1" x14ac:dyDescent="0.2">
      <c r="P47" s="358"/>
      <c r="Q47" s="375" t="str">
        <f t="shared" si="4"/>
        <v>Ln47</v>
      </c>
      <c r="R47" s="503" t="str">
        <f>IF(C7+E7+C9+E9&gt;0,"INFO","OK")</f>
        <v>OK</v>
      </c>
      <c r="S47" s="504" t="s">
        <v>92</v>
      </c>
      <c r="T47" s="505"/>
      <c r="U47" s="357"/>
      <c r="V47" s="357"/>
      <c r="W47" s="357"/>
      <c r="X47" s="357"/>
      <c r="Y47" s="426" t="s">
        <v>55</v>
      </c>
      <c r="Z47" s="442">
        <f>Z40</f>
        <v>1800</v>
      </c>
      <c r="AA47" s="443">
        <f>Z36</f>
        <v>2250</v>
      </c>
      <c r="AB47" s="444">
        <f>+AA47-Z47</f>
        <v>450</v>
      </c>
      <c r="AC47" s="445">
        <f>AE40</f>
        <v>33</v>
      </c>
      <c r="AD47" s="446">
        <f>AE36</f>
        <v>33</v>
      </c>
      <c r="AE47" s="447">
        <f>AD47-AC47</f>
        <v>0</v>
      </c>
      <c r="AF47" s="448">
        <f>IF(OR(AB47=0,AE47=0),0,ROUND(AE47/AB47,5))</f>
        <v>0</v>
      </c>
      <c r="AG47" s="449">
        <f ca="1">IF(AND(AA44&gt;=Z47,AA44&lt;AA47),AC47+((AA44-Z47)*AF47),AC47)</f>
        <v>33</v>
      </c>
      <c r="AH47" s="450">
        <f>AD50</f>
        <v>46</v>
      </c>
      <c r="AI47" s="237"/>
      <c r="AJ47" s="237"/>
    </row>
    <row r="48" spans="2:36" x14ac:dyDescent="0.2">
      <c r="P48" s="358"/>
      <c r="Q48" s="375" t="str">
        <f t="shared" si="4"/>
        <v>Ln48</v>
      </c>
      <c r="R48" s="503" t="str">
        <f>IF(AND(C7&gt;0,D15=0),"WARN","OK")</f>
        <v>OK</v>
      </c>
      <c r="S48" s="506" t="s">
        <v>111</v>
      </c>
      <c r="T48" s="507"/>
      <c r="U48" s="357"/>
      <c r="V48" s="357"/>
      <c r="W48" s="357"/>
      <c r="X48" s="357"/>
      <c r="Y48" s="426" t="s">
        <v>56</v>
      </c>
      <c r="Z48" s="451">
        <f>AA47</f>
        <v>2250</v>
      </c>
      <c r="AA48" s="452">
        <f>Z34</f>
        <v>2700</v>
      </c>
      <c r="AB48" s="453">
        <f>+AA48-Z48</f>
        <v>450</v>
      </c>
      <c r="AC48" s="454">
        <f>IF(AD48=AD47,AC47,AD47)</f>
        <v>33</v>
      </c>
      <c r="AD48" s="455">
        <f>AE34</f>
        <v>35.700000000000003</v>
      </c>
      <c r="AE48" s="447">
        <f>AD48-AC48</f>
        <v>2.7000000000000028</v>
      </c>
      <c r="AF48" s="448">
        <f>IF(OR(AB48=0,AE48=0),0,ROUND(AE48/AB48,5))</f>
        <v>6.0000000000000001E-3</v>
      </c>
      <c r="AG48" s="449">
        <f ca="1">IF(AND(AA44&gt;=Z48,AA44&lt;AA48),AC48+((AA44-Z48)*AF48),AC48)</f>
        <v>33.907859999999999</v>
      </c>
      <c r="AH48" s="213">
        <f>AH47</f>
        <v>46</v>
      </c>
      <c r="AI48" s="237"/>
      <c r="AJ48" s="237"/>
    </row>
    <row r="49" spans="8:36" x14ac:dyDescent="0.2">
      <c r="P49" s="358"/>
      <c r="Q49" s="375" t="str">
        <f t="shared" si="4"/>
        <v>Ln49</v>
      </c>
      <c r="R49" s="503" t="str">
        <f>IF(AND(C7&gt;0,D16=0),"WARN","OK")</f>
        <v>OK</v>
      </c>
      <c r="S49" s="506" t="s">
        <v>113</v>
      </c>
      <c r="T49" s="507"/>
      <c r="U49" s="357"/>
      <c r="V49" s="357"/>
      <c r="W49" s="357"/>
      <c r="X49" s="357"/>
      <c r="Y49" s="426" t="s">
        <v>54</v>
      </c>
      <c r="Z49" s="451">
        <f>AA48</f>
        <v>2700</v>
      </c>
      <c r="AA49" s="452">
        <f>AA32</f>
        <v>2950</v>
      </c>
      <c r="AB49" s="453">
        <f>+AA49-Z49</f>
        <v>250</v>
      </c>
      <c r="AC49" s="454">
        <f>IF(AD49=AD48,AC48,AD48)</f>
        <v>35.700000000000003</v>
      </c>
      <c r="AD49" s="455">
        <f>AF32</f>
        <v>39</v>
      </c>
      <c r="AE49" s="447">
        <f>AD49-AC49</f>
        <v>3.2999999999999972</v>
      </c>
      <c r="AF49" s="448">
        <f>IF(OR(AB49=0,AE49=0),0,ROUND(AE49/AB49,5))</f>
        <v>1.32E-2</v>
      </c>
      <c r="AG49" s="449">
        <f ca="1">IF(AND(AA44&gt;=Z49,AA44&lt;AA49),AC49+((AA44-Z49)*AF49),AC49)</f>
        <v>35.700000000000003</v>
      </c>
      <c r="AH49" s="213">
        <f>AH48</f>
        <v>46</v>
      </c>
      <c r="AI49" s="237"/>
      <c r="AJ49" s="237"/>
    </row>
    <row r="50" spans="8:36" ht="13.5" thickBot="1" x14ac:dyDescent="0.25">
      <c r="P50" s="358"/>
      <c r="Q50" s="375" t="str">
        <f t="shared" si="4"/>
        <v>Ln50</v>
      </c>
      <c r="R50" s="503" t="str">
        <f>IF(AND(C7&gt;0,D17=0),"WARN","OK")</f>
        <v>OK</v>
      </c>
      <c r="S50" s="506" t="s">
        <v>112</v>
      </c>
      <c r="T50" s="507"/>
      <c r="U50" s="357"/>
      <c r="V50" s="357"/>
      <c r="W50" s="357"/>
      <c r="X50" s="357"/>
      <c r="Y50" s="458" t="s">
        <v>57</v>
      </c>
      <c r="Z50" s="459">
        <f>AA49</f>
        <v>2950</v>
      </c>
      <c r="AA50" s="460">
        <f>AC32</f>
        <v>2950</v>
      </c>
      <c r="AB50" s="461">
        <f>+AA50-Z50</f>
        <v>0</v>
      </c>
      <c r="AC50" s="462">
        <f>IF(AD50=AD49,AC49,AD49)</f>
        <v>39</v>
      </c>
      <c r="AD50" s="463">
        <f>AH32</f>
        <v>46</v>
      </c>
      <c r="AE50" s="464">
        <f>AD50-AC50</f>
        <v>7</v>
      </c>
      <c r="AF50" s="465">
        <f>IF(OR(AB50=0,AE50=0),0,ROUND(AE50/AB50,5))</f>
        <v>0</v>
      </c>
      <c r="AG50" s="466">
        <f ca="1">IF(AND(AA44&gt;=Z50,AA44&lt;AA50),AC50+((AA44-Z50)*AF50),AC50)</f>
        <v>39</v>
      </c>
      <c r="AH50" s="217">
        <f>AH49</f>
        <v>46</v>
      </c>
      <c r="AI50" s="237"/>
      <c r="AJ50" s="237"/>
    </row>
    <row r="51" spans="8:36" ht="13.5" thickTop="1" x14ac:dyDescent="0.2">
      <c r="H51" s="141" t="s">
        <v>138</v>
      </c>
      <c r="I51" s="757" t="str">
        <f>'READ ME'!$O$22</f>
        <v>CAUTION:</v>
      </c>
      <c r="J51" s="760" t="str">
        <f>'READ ME'!$P$22</f>
        <v>This spreadsheet may contain unverified W&amp;B data and may not be accurate for this aircraft.  It should be used for illustrative purposes only.  The pilot is responsible for insuring that the aircraft is loaded in accordance with the aircraft’s POH before each flight.</v>
      </c>
      <c r="K51" s="760"/>
      <c r="L51" s="760"/>
      <c r="M51" s="761"/>
      <c r="P51" s="358"/>
      <c r="Q51" s="375" t="str">
        <f t="shared" si="4"/>
        <v>Ln51</v>
      </c>
      <c r="R51" s="503" t="str">
        <f>IF(D18&gt;D15,"ERR","OK")</f>
        <v>OK</v>
      </c>
      <c r="S51" s="506" t="s">
        <v>94</v>
      </c>
      <c r="T51" s="507"/>
      <c r="U51" s="357"/>
      <c r="V51" s="357"/>
      <c r="W51" s="357"/>
      <c r="X51" s="357"/>
      <c r="Y51" s="357"/>
      <c r="Z51" s="357"/>
      <c r="AA51" s="357"/>
      <c r="AB51" s="357"/>
      <c r="AC51" s="357"/>
      <c r="AD51" s="357"/>
      <c r="AE51" s="357"/>
      <c r="AF51" s="357"/>
      <c r="AG51" s="357"/>
      <c r="AH51" s="357"/>
      <c r="AI51" s="237"/>
      <c r="AJ51" s="237"/>
    </row>
    <row r="52" spans="8:36" x14ac:dyDescent="0.2">
      <c r="I52" s="758"/>
      <c r="J52" s="762"/>
      <c r="K52" s="762"/>
      <c r="L52" s="762"/>
      <c r="M52" s="763"/>
      <c r="P52" s="358"/>
      <c r="Q52" s="375" t="str">
        <f t="shared" si="4"/>
        <v>Ln52</v>
      </c>
      <c r="R52" s="503" t="str">
        <f>IF(OR(D15=0,D16=0,D17=0),"WARN","OK")</f>
        <v>WARN</v>
      </c>
      <c r="S52" s="506" t="s">
        <v>110</v>
      </c>
      <c r="T52" s="507"/>
      <c r="U52" s="357"/>
      <c r="V52" s="357"/>
      <c r="W52" s="357"/>
      <c r="X52" s="357"/>
      <c r="Y52" s="357"/>
      <c r="Z52" s="357"/>
      <c r="AA52" s="357"/>
      <c r="AB52" s="357"/>
      <c r="AC52" s="357"/>
      <c r="AD52" s="357"/>
      <c r="AE52" s="357"/>
      <c r="AF52" s="357"/>
      <c r="AG52" s="357"/>
      <c r="AH52" s="357"/>
      <c r="AI52" s="237"/>
      <c r="AJ52" s="237"/>
    </row>
    <row r="53" spans="8:36" ht="13.5" thickBot="1" x14ac:dyDescent="0.25">
      <c r="I53" s="759"/>
      <c r="J53" s="764"/>
      <c r="K53" s="764"/>
      <c r="L53" s="764"/>
      <c r="M53" s="765"/>
      <c r="P53" s="358"/>
      <c r="Q53" s="375" t="str">
        <f t="shared" si="4"/>
        <v>Ln53</v>
      </c>
      <c r="R53" s="503" t="str">
        <f>IF(AND(D15&gt;0,D16&gt;0,D18&gt;0,T43&lt;1),"WARN","OK")</f>
        <v>OK</v>
      </c>
      <c r="S53" s="506" t="s">
        <v>90</v>
      </c>
      <c r="T53" s="507"/>
      <c r="U53" s="357"/>
      <c r="V53" s="357"/>
      <c r="W53" s="357"/>
      <c r="X53" s="357"/>
      <c r="Y53" s="357"/>
      <c r="Z53" s="357"/>
      <c r="AA53" s="357"/>
      <c r="AB53" s="357"/>
      <c r="AC53" s="357"/>
      <c r="AD53" s="357"/>
      <c r="AE53" s="357"/>
      <c r="AF53" s="357"/>
      <c r="AG53" s="357"/>
      <c r="AH53" s="357"/>
      <c r="AI53" s="237"/>
      <c r="AJ53" s="237"/>
    </row>
    <row r="54" spans="8:36" ht="13.5" thickTop="1" x14ac:dyDescent="0.2">
      <c r="I54" s="650" t="str">
        <f>IF(C4&lt;&gt;9999,"","Env "&amp;Z23&amp;"  "&amp;AA23&amp;"  "&amp;AA24&amp;"  "&amp;AA25&amp;"  "&amp;AA26&amp;"     "&amp;AC23&amp;"  "&amp;AD23&amp;"  "&amp;AD24&amp;"  "&amp;AD25&amp;"  "&amp;AD26)</f>
        <v/>
      </c>
      <c r="P54" s="358"/>
      <c r="Q54" s="357"/>
      <c r="R54" s="357"/>
      <c r="S54" s="357"/>
      <c r="T54" s="357"/>
      <c r="U54" s="357"/>
      <c r="V54" s="357"/>
      <c r="W54" s="357"/>
      <c r="X54" s="357"/>
      <c r="Y54" s="357"/>
      <c r="Z54" s="357"/>
      <c r="AA54" s="357"/>
      <c r="AB54" s="357"/>
      <c r="AC54" s="357"/>
      <c r="AD54" s="357"/>
      <c r="AE54" s="357"/>
      <c r="AF54" s="357"/>
      <c r="AG54" s="357"/>
      <c r="AH54" s="357"/>
      <c r="AI54" s="237"/>
      <c r="AJ54" s="237"/>
    </row>
    <row r="55" spans="8:36" x14ac:dyDescent="0.2">
      <c r="I55" s="651" t="str">
        <f>IF(C4&lt;&gt;9999,"","Fuel  T "&amp;T19&amp;"   F "&amp;T18&amp;"      Load   0 "&amp;U37&amp;"  T "&amp;U38&amp;"  F "&amp;U39)</f>
        <v/>
      </c>
      <c r="P55" s="358"/>
      <c r="Q55" s="357"/>
      <c r="R55" s="357"/>
      <c r="S55" s="357"/>
      <c r="T55" s="357"/>
      <c r="U55" s="357"/>
      <c r="V55" s="357"/>
      <c r="W55" s="357"/>
      <c r="X55" s="357"/>
      <c r="Y55" s="357"/>
      <c r="Z55" s="357"/>
      <c r="AA55" s="357"/>
      <c r="AB55" s="357"/>
      <c r="AC55" s="357"/>
      <c r="AD55" s="357"/>
      <c r="AE55" s="357"/>
      <c r="AF55" s="357"/>
      <c r="AG55" s="357"/>
      <c r="AH55" s="357"/>
      <c r="AI55" s="237"/>
      <c r="AJ55" s="237"/>
    </row>
    <row r="56" spans="8:36" x14ac:dyDescent="0.2">
      <c r="P56" s="358"/>
      <c r="Q56" s="357"/>
      <c r="R56" s="357"/>
      <c r="S56" s="357"/>
      <c r="T56" s="357"/>
      <c r="U56" s="357"/>
      <c r="V56" s="357"/>
      <c r="W56" s="357"/>
      <c r="X56" s="357"/>
      <c r="Y56" s="357"/>
      <c r="Z56" s="357"/>
      <c r="AA56" s="357"/>
      <c r="AB56" s="357"/>
      <c r="AC56" s="357"/>
      <c r="AD56" s="357"/>
      <c r="AE56" s="357"/>
      <c r="AF56" s="357"/>
      <c r="AG56" s="357"/>
      <c r="AH56" s="357"/>
      <c r="AI56" s="237"/>
      <c r="AJ56" s="237"/>
    </row>
  </sheetData>
  <sheetProtection algorithmName="SHA-512" hashValue="8x3hW2aQdWSXmwBZOfd9OvHqB7ZhPRvk9iOzsSvIP7wtFrgPiw9UumFv8iUt1Vxa8VZPlDuIMY++FcQTw87How==" saltValue="gi7qfJ8p0biJYXkang9Rbg==" spinCount="100000" sheet="1" selectLockedCells="1"/>
  <mergeCells count="45">
    <mergeCell ref="C4:D4"/>
    <mergeCell ref="B1:H1"/>
    <mergeCell ref="C2:E2"/>
    <mergeCell ref="J2:K2"/>
    <mergeCell ref="D3:F3"/>
    <mergeCell ref="J3:K3"/>
    <mergeCell ref="B7:B8"/>
    <mergeCell ref="C7:D8"/>
    <mergeCell ref="E7:F8"/>
    <mergeCell ref="B9:B10"/>
    <mergeCell ref="C9:D10"/>
    <mergeCell ref="E9:F10"/>
    <mergeCell ref="C11:F11"/>
    <mergeCell ref="AA11:AB11"/>
    <mergeCell ref="AF11:AG11"/>
    <mergeCell ref="C12:F12"/>
    <mergeCell ref="AA12:AB12"/>
    <mergeCell ref="AF12:AG12"/>
    <mergeCell ref="AH13:AH15"/>
    <mergeCell ref="D15:E15"/>
    <mergeCell ref="D16:E16"/>
    <mergeCell ref="B21:B22"/>
    <mergeCell ref="C21:F22"/>
    <mergeCell ref="D17:E17"/>
    <mergeCell ref="AF17:AG17"/>
    <mergeCell ref="D18:E18"/>
    <mergeCell ref="D13:E13"/>
    <mergeCell ref="AC13:AC15"/>
    <mergeCell ref="C23:F23"/>
    <mergeCell ref="C24:F24"/>
    <mergeCell ref="AH37:AH39"/>
    <mergeCell ref="C25:F25"/>
    <mergeCell ref="D28:E28"/>
    <mergeCell ref="F28:H28"/>
    <mergeCell ref="D29:E29"/>
    <mergeCell ref="D30:E30"/>
    <mergeCell ref="F30:H30"/>
    <mergeCell ref="I51:I53"/>
    <mergeCell ref="J51:M53"/>
    <mergeCell ref="AF35:AG35"/>
    <mergeCell ref="AA36:AB36"/>
    <mergeCell ref="AF36:AG36"/>
    <mergeCell ref="AC37:AC39"/>
    <mergeCell ref="AF41:AG41"/>
    <mergeCell ref="AA35:AB35"/>
  </mergeCells>
  <conditionalFormatting sqref="T37:T38">
    <cfRule type="expression" dxfId="851" priority="18" stopIfTrue="1">
      <formula>S37=""</formula>
    </cfRule>
  </conditionalFormatting>
  <conditionalFormatting sqref="I26 I28">
    <cfRule type="expression" dxfId="850" priority="19" stopIfTrue="1">
      <formula>E7=""</formula>
    </cfRule>
  </conditionalFormatting>
  <conditionalFormatting sqref="I27 I29:I30">
    <cfRule type="expression" dxfId="849" priority="20" stopIfTrue="1">
      <formula>C9=""</formula>
    </cfRule>
  </conditionalFormatting>
  <conditionalFormatting sqref="U37:U39 V19">
    <cfRule type="expression" dxfId="848" priority="21" stopIfTrue="1">
      <formula>S19=""</formula>
    </cfRule>
  </conditionalFormatting>
  <conditionalFormatting sqref="C25">
    <cfRule type="expression" dxfId="847" priority="22" stopIfTrue="1">
      <formula>AND(C7="",E7+C9+E9&gt;0)</formula>
    </cfRule>
  </conditionalFormatting>
  <conditionalFormatting sqref="B30 B32:B34">
    <cfRule type="expression" dxfId="846" priority="23" stopIfTrue="1">
      <formula>D29&gt;D28</formula>
    </cfRule>
  </conditionalFormatting>
  <conditionalFormatting sqref="D30:E30">
    <cfRule type="expression" dxfId="845" priority="24" stopIfTrue="1">
      <formula>D29&gt;D28</formula>
    </cfRule>
  </conditionalFormatting>
  <conditionalFormatting sqref="F30:H30">
    <cfRule type="expression" dxfId="844" priority="25" stopIfTrue="1">
      <formula>D29&gt;D28</formula>
    </cfRule>
  </conditionalFormatting>
  <conditionalFormatting sqref="B23 B25">
    <cfRule type="cellIs" dxfId="843" priority="26" stopIfTrue="1" operator="notEqual">
      <formula>""</formula>
    </cfRule>
  </conditionalFormatting>
  <conditionalFormatting sqref="B24">
    <cfRule type="cellIs" dxfId="842" priority="27" stopIfTrue="1" operator="notEqual">
      <formula>""</formula>
    </cfRule>
  </conditionalFormatting>
  <conditionalFormatting sqref="R46:R53 R8 R10 R29:R30 R33">
    <cfRule type="cellIs" dxfId="841" priority="28" stopIfTrue="1" operator="notEqual">
      <formula>""</formula>
    </cfRule>
  </conditionalFormatting>
  <conditionalFormatting sqref="S37:S39">
    <cfRule type="expression" dxfId="840" priority="29" stopIfTrue="1">
      <formula>S37=""</formula>
    </cfRule>
  </conditionalFormatting>
  <conditionalFormatting sqref="R18">
    <cfRule type="cellIs" dxfId="839" priority="30" stopIfTrue="1" operator="notEqual">
      <formula>""</formula>
    </cfRule>
  </conditionalFormatting>
  <conditionalFormatting sqref="J5">
    <cfRule type="expression" dxfId="838" priority="31" stopIfTrue="1">
      <formula>expired=TRUE</formula>
    </cfRule>
  </conditionalFormatting>
  <conditionalFormatting sqref="B1:H1">
    <cfRule type="expression" dxfId="837" priority="32" stopIfTrue="1">
      <formula>expired=TRUE</formula>
    </cfRule>
    <cfRule type="expression" dxfId="836" priority="33" stopIfTrue="1">
      <formula>old_ver=TRUE</formula>
    </cfRule>
  </conditionalFormatting>
  <conditionalFormatting sqref="I3">
    <cfRule type="expression" dxfId="835" priority="34" stopIfTrue="1">
      <formula>D3=""</formula>
    </cfRule>
  </conditionalFormatting>
  <conditionalFormatting sqref="J2">
    <cfRule type="expression" dxfId="834" priority="35" stopIfTrue="1">
      <formula>D3=""</formula>
    </cfRule>
  </conditionalFormatting>
  <conditionalFormatting sqref="L2">
    <cfRule type="expression" dxfId="833" priority="36" stopIfTrue="1">
      <formula>D3=""</formula>
    </cfRule>
  </conditionalFormatting>
  <conditionalFormatting sqref="L3">
    <cfRule type="expression" dxfId="832" priority="37" stopIfTrue="1">
      <formula>D3=""</formula>
    </cfRule>
  </conditionalFormatting>
  <conditionalFormatting sqref="J3:K3">
    <cfRule type="expression" dxfId="831" priority="38" stopIfTrue="1">
      <formula>D3=""</formula>
    </cfRule>
  </conditionalFormatting>
  <conditionalFormatting sqref="I2">
    <cfRule type="expression" dxfId="830" priority="39" stopIfTrue="1">
      <formula>AND(D3="",C2="")</formula>
    </cfRule>
  </conditionalFormatting>
  <conditionalFormatting sqref="V21">
    <cfRule type="expression" dxfId="829" priority="17" stopIfTrue="1">
      <formula>T21=""</formula>
    </cfRule>
  </conditionalFormatting>
  <conditionalFormatting sqref="E21:E22">
    <cfRule type="expression" dxfId="828" priority="40" stopIfTrue="1">
      <formula>OR(AC19="out",AF19="out")</formula>
    </cfRule>
  </conditionalFormatting>
  <conditionalFormatting sqref="M17">
    <cfRule type="expression" dxfId="827" priority="41" stopIfTrue="1">
      <formula>AE19="out"</formula>
    </cfRule>
  </conditionalFormatting>
  <conditionalFormatting sqref="K17">
    <cfRule type="expression" dxfId="826" priority="42" stopIfTrue="1">
      <formula>AE19&lt;&gt;"OK"</formula>
    </cfRule>
  </conditionalFormatting>
  <conditionalFormatting sqref="F21:F22">
    <cfRule type="expression" dxfId="825" priority="43" stopIfTrue="1">
      <formula>OR(AE19="out",AG19="out")</formula>
    </cfRule>
  </conditionalFormatting>
  <conditionalFormatting sqref="C21:C22">
    <cfRule type="expression" dxfId="824" priority="44" stopIfTrue="1">
      <formula>OR(AA19="out",AE19="out")</formula>
    </cfRule>
  </conditionalFormatting>
  <conditionalFormatting sqref="D21:D22">
    <cfRule type="expression" dxfId="823" priority="45" stopIfTrue="1">
      <formula>OR(AB19="out",#REF!="out")</formula>
    </cfRule>
  </conditionalFormatting>
  <conditionalFormatting sqref="K20">
    <cfRule type="expression" dxfId="822" priority="46" stopIfTrue="1">
      <formula>AE43&lt;&gt;"OK"</formula>
    </cfRule>
  </conditionalFormatting>
  <conditionalFormatting sqref="J16">
    <cfRule type="expression" dxfId="821" priority="47" stopIfTrue="1">
      <formula>R8&lt;&gt;"OK"</formula>
    </cfRule>
  </conditionalFormatting>
  <conditionalFormatting sqref="J19">
    <cfRule type="expression" dxfId="820" priority="48" stopIfTrue="1">
      <formula>R10&lt;&gt;"OK"</formula>
    </cfRule>
  </conditionalFormatting>
  <conditionalFormatting sqref="B21">
    <cfRule type="expression" dxfId="819" priority="49" stopIfTrue="1">
      <formula>R10&lt;&gt;"OK"</formula>
    </cfRule>
    <cfRule type="expression" dxfId="818" priority="50" stopIfTrue="1">
      <formula>R11&lt;&gt;"OK"</formula>
    </cfRule>
  </conditionalFormatting>
  <conditionalFormatting sqref="V27">
    <cfRule type="expression" dxfId="817" priority="15" stopIfTrue="1">
      <formula>T27=""</formula>
    </cfRule>
  </conditionalFormatting>
  <conditionalFormatting sqref="V26">
    <cfRule type="expression" dxfId="816" priority="16" stopIfTrue="1">
      <formula>S26=""</formula>
    </cfRule>
  </conditionalFormatting>
  <conditionalFormatting sqref="D15:E15">
    <cfRule type="expression" dxfId="815" priority="51" stopIfTrue="1">
      <formula>R18="err"</formula>
    </cfRule>
  </conditionalFormatting>
  <conditionalFormatting sqref="F23">
    <cfRule type="expression" dxfId="814" priority="52" stopIfTrue="1">
      <formula>#REF!&lt;&gt;"OK"</formula>
    </cfRule>
  </conditionalFormatting>
  <conditionalFormatting sqref="M16">
    <cfRule type="expression" dxfId="813" priority="53" stopIfTrue="1">
      <formula>J16&gt;U8</formula>
    </cfRule>
  </conditionalFormatting>
  <conditionalFormatting sqref="V18">
    <cfRule type="expression" dxfId="812" priority="54" stopIfTrue="1">
      <formula>S18=""</formula>
    </cfRule>
  </conditionalFormatting>
  <conditionalFormatting sqref="R31">
    <cfRule type="cellIs" dxfId="811" priority="14" stopIfTrue="1" operator="notEqual">
      <formula>""</formula>
    </cfRule>
  </conditionalFormatting>
  <conditionalFormatting sqref="R34">
    <cfRule type="cellIs" dxfId="810" priority="13" stopIfTrue="1" operator="notEqual">
      <formula>""</formula>
    </cfRule>
  </conditionalFormatting>
  <conditionalFormatting sqref="R32">
    <cfRule type="cellIs" dxfId="809" priority="12" stopIfTrue="1" operator="notEqual">
      <formula>""</formula>
    </cfRule>
  </conditionalFormatting>
  <conditionalFormatting sqref="B22">
    <cfRule type="expression" dxfId="808" priority="55" stopIfTrue="1">
      <formula>R11&lt;&gt;"OK"</formula>
    </cfRule>
    <cfRule type="expression" dxfId="807" priority="56" stopIfTrue="1">
      <formula>R29&lt;&gt;"OK"</formula>
    </cfRule>
  </conditionalFormatting>
  <conditionalFormatting sqref="C12">
    <cfRule type="expression" dxfId="806" priority="57" stopIfTrue="1">
      <formula>R30="ERR"</formula>
    </cfRule>
  </conditionalFormatting>
  <conditionalFormatting sqref="C11">
    <cfRule type="expression" dxfId="805" priority="58" stopIfTrue="1">
      <formula>R29="ERR"</formula>
    </cfRule>
  </conditionalFormatting>
  <conditionalFormatting sqref="C23:E23">
    <cfRule type="expression" dxfId="804" priority="59" stopIfTrue="1">
      <formula>R53&lt;&gt;"OK"</formula>
    </cfRule>
  </conditionalFormatting>
  <conditionalFormatting sqref="C7:D8">
    <cfRule type="expression" dxfId="803" priority="60" stopIfTrue="1">
      <formula>R46&lt;&gt;"OK"</formula>
    </cfRule>
  </conditionalFormatting>
  <conditionalFormatting sqref="D18:E18">
    <cfRule type="expression" dxfId="802" priority="61" stopIfTrue="1">
      <formula>R51&lt;&gt;"OK"</formula>
    </cfRule>
  </conditionalFormatting>
  <conditionalFormatting sqref="B18 B20">
    <cfRule type="expression" dxfId="801" priority="62" stopIfTrue="1">
      <formula>R51&lt;&gt;"OK"</formula>
    </cfRule>
  </conditionalFormatting>
  <conditionalFormatting sqref="D19">
    <cfRule type="expression" dxfId="800" priority="63" stopIfTrue="1">
      <formula>R53&lt;&gt;"ok"</formula>
    </cfRule>
  </conditionalFormatting>
  <conditionalFormatting sqref="D13:E13">
    <cfRule type="expression" dxfId="799" priority="64">
      <formula>AND(R34="ERR",D13&lt;&gt;0)</formula>
    </cfRule>
    <cfRule type="expression" dxfId="798" priority="65" stopIfTrue="1">
      <formula>R31="ERR"</formula>
    </cfRule>
  </conditionalFormatting>
  <conditionalFormatting sqref="C12:F12">
    <cfRule type="expression" dxfId="797" priority="66" stopIfTrue="1">
      <formula>AND(C12&lt;&gt;0,R33="ERR")</formula>
    </cfRule>
    <cfRule type="expression" dxfId="796" priority="67" stopIfTrue="1">
      <formula>AND(R34="ERR",C12&lt;&gt;0)</formula>
    </cfRule>
  </conditionalFormatting>
  <conditionalFormatting sqref="C11:F11">
    <cfRule type="expression" dxfId="795" priority="68" stopIfTrue="1">
      <formula>R33="ERR"</formula>
    </cfRule>
    <cfRule type="expression" dxfId="794" priority="69" stopIfTrue="1">
      <formula>R32="ERR"</formula>
    </cfRule>
  </conditionalFormatting>
  <conditionalFormatting sqref="S21">
    <cfRule type="expression" dxfId="793" priority="11" stopIfTrue="1">
      <formula>T21=""</formula>
    </cfRule>
  </conditionalFormatting>
  <conditionalFormatting sqref="S22:S23">
    <cfRule type="expression" dxfId="792" priority="10" stopIfTrue="1">
      <formula>S22=""</formula>
    </cfRule>
  </conditionalFormatting>
  <conditionalFormatting sqref="S20">
    <cfRule type="expression" dxfId="791" priority="8">
      <formula>AND(OR(T20="",LEFT(T20,1)="F"),T18&lt;&gt;T19)</formula>
    </cfRule>
    <cfRule type="expression" dxfId="790" priority="9">
      <formula>AND(LEFT(T20,1)&lt;&gt;"F",T18=T19)</formula>
    </cfRule>
  </conditionalFormatting>
  <conditionalFormatting sqref="R20">
    <cfRule type="cellIs" dxfId="789" priority="7" stopIfTrue="1" operator="notEqual">
      <formula>""</formula>
    </cfRule>
  </conditionalFormatting>
  <conditionalFormatting sqref="V20">
    <cfRule type="expression" dxfId="788" priority="6" stopIfTrue="1">
      <formula>T20=""</formula>
    </cfRule>
  </conditionalFormatting>
  <conditionalFormatting sqref="S12:S15">
    <cfRule type="expression" dxfId="787" priority="5" stopIfTrue="1">
      <formula>S12=""</formula>
    </cfRule>
  </conditionalFormatting>
  <conditionalFormatting sqref="R11">
    <cfRule type="cellIs" dxfId="786" priority="4" stopIfTrue="1" operator="notEqual">
      <formula>""</formula>
    </cfRule>
  </conditionalFormatting>
  <conditionalFormatting sqref="S19">
    <cfRule type="expression" dxfId="785" priority="3" stopIfTrue="1">
      <formula>#REF!=""</formula>
    </cfRule>
  </conditionalFormatting>
  <conditionalFormatting sqref="C24:F24">
    <cfRule type="cellIs" dxfId="784" priority="2" stopIfTrue="1" operator="notEqual">
      <formula>""</formula>
    </cfRule>
  </conditionalFormatting>
  <conditionalFormatting sqref="I4">
    <cfRule type="expression" dxfId="783" priority="1" stopIfTrue="1">
      <formula>K3&gt;K2</formula>
    </cfRule>
  </conditionalFormatting>
  <dataValidations count="3">
    <dataValidation type="list" showInputMessage="1" showErrorMessage="1" errorTitle="STANDARD FUELING LEVEL" error="STANDARD FUELING LEVEL MUST BE ENTERED:_x000a_TABS,_x000a_Measured,_x000a_FULL" sqref="T20" xr:uid="{00000000-0002-0000-0B00-000000000000}">
      <formula1>"TABS,Measured,FULL"</formula1>
    </dataValidation>
    <dataValidation type="custom" allowBlank="1" showInputMessage="1" showErrorMessage="1" errorTitle="Input Error" error="Entry must be a NUMERIC VALUE!" sqref="D15:E17 C7:F12" xr:uid="{00000000-0002-0000-0B00-000001000000}">
      <formula1>ISNUMBER(C7)</formula1>
    </dataValidation>
    <dataValidation type="date" allowBlank="1" showInputMessage="1" showErrorMessage="1" errorTitle="Input Error" error="A valid date must be entered into this cell.  Enter as  mm/dd/yy  _x000a__x000a_" sqref="C2:E2" xr:uid="{00000000-0002-0000-0B00-000002000000}">
      <formula1>36526</formula1>
      <formula2>44196</formula2>
    </dataValidation>
  </dataValidations>
  <printOptions horizontalCentered="1"/>
  <pageMargins left="0.75" right="0.5" top="0.5" bottom="0.5" header="0.5" footer="0.5"/>
  <pageSetup scale="98" orientation="portrait" r:id="rId1"/>
  <headerFooter alignWithMargins="0">
    <oddFooter>&amp;L&amp;F &amp;A&amp;RPrinted: &amp;D      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28</vt:i4>
      </vt:variant>
    </vt:vector>
  </HeadingPairs>
  <TitlesOfParts>
    <vt:vector size="48" baseType="lpstr">
      <vt:lpstr>READ ME</vt:lpstr>
      <vt:lpstr>All Aircraft</vt:lpstr>
      <vt:lpstr>N426CP</vt:lpstr>
      <vt:lpstr>N697CP</vt:lpstr>
      <vt:lpstr>NoUnlockCAP 1240</vt:lpstr>
      <vt:lpstr>Empty172</vt:lpstr>
      <vt:lpstr>N990CP</vt:lpstr>
      <vt:lpstr>N9433L</vt:lpstr>
      <vt:lpstr>N237CP</vt:lpstr>
      <vt:lpstr>N288CP</vt:lpstr>
      <vt:lpstr>N380CV</vt:lpstr>
      <vt:lpstr>NoUnlockCAP 1223</vt:lpstr>
      <vt:lpstr>NoUnlockCAP1238</vt:lpstr>
      <vt:lpstr>N402CV</vt:lpstr>
      <vt:lpstr>NxxxCP</vt:lpstr>
      <vt:lpstr>NoUnlockN471CP</vt:lpstr>
      <vt:lpstr>N493CP</vt:lpstr>
      <vt:lpstr>x182CP</vt:lpstr>
      <vt:lpstr>N471CP</vt:lpstr>
      <vt:lpstr>GA8N470CP</vt:lpstr>
      <vt:lpstr>exp_warn</vt:lpstr>
      <vt:lpstr>expire_date</vt:lpstr>
      <vt:lpstr>expired</vt:lpstr>
      <vt:lpstr>old_ver</vt:lpstr>
      <vt:lpstr>'All Aircraft'!Print_Area</vt:lpstr>
      <vt:lpstr>Empty172!Print_Area</vt:lpstr>
      <vt:lpstr>GA8N470CP!Print_Area</vt:lpstr>
      <vt:lpstr>N237CP!Print_Area</vt:lpstr>
      <vt:lpstr>N288CP!Print_Area</vt:lpstr>
      <vt:lpstr>N380CV!Print_Area</vt:lpstr>
      <vt:lpstr>N402CV!Print_Area</vt:lpstr>
      <vt:lpstr>N426CP!Print_Area</vt:lpstr>
      <vt:lpstr>N471CP!Print_Area</vt:lpstr>
      <vt:lpstr>N493CP!Print_Area</vt:lpstr>
      <vt:lpstr>N697CP!Print_Area</vt:lpstr>
      <vt:lpstr>N9433L!Print_Area</vt:lpstr>
      <vt:lpstr>N990CP!Print_Area</vt:lpstr>
      <vt:lpstr>'NoUnlockCAP 1223'!Print_Area</vt:lpstr>
      <vt:lpstr>'NoUnlockCAP 1240'!Print_Area</vt:lpstr>
      <vt:lpstr>NoUnlockCAP1238!Print_Area</vt:lpstr>
      <vt:lpstr>NoUnlockN471CP!Print_Area</vt:lpstr>
      <vt:lpstr>NxxxCP!Print_Area</vt:lpstr>
      <vt:lpstr>'READ ME'!Print_Area</vt:lpstr>
      <vt:lpstr>x182CP!Print_Area</vt:lpstr>
      <vt:lpstr>release_date</vt:lpstr>
      <vt:lpstr>release_nbr</vt:lpstr>
      <vt:lpstr>status_msg</vt:lpstr>
      <vt:lpstr>W_B_sheet_is_set_to_expire_in_5_days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Bill (BCS SA - SAP (Indy))</dc:creator>
  <cp:lastModifiedBy>Jack</cp:lastModifiedBy>
  <cp:lastPrinted>2020-02-05T22:53:48Z</cp:lastPrinted>
  <dcterms:created xsi:type="dcterms:W3CDTF">2009-05-26T19:47:43Z</dcterms:created>
  <dcterms:modified xsi:type="dcterms:W3CDTF">2020-03-21T15:23:01Z</dcterms:modified>
</cp:coreProperties>
</file>